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475" windowHeight="6150" activeTab="0"/>
  </bookViews>
  <sheets>
    <sheet name="งบทดลอง53" sheetId="1" r:id="rId1"/>
    <sheet name="หมายเหต1.1" sheetId="2" r:id="rId2"/>
    <sheet name="งบรับ-จ่าย" sheetId="3" r:id="rId3"/>
    <sheet name="หมายเหต 1" sheetId="4" r:id="rId4"/>
    <sheet name="หมายเหุต2" sheetId="5" r:id="rId5"/>
    <sheet name="เงินค้ำประกัน" sheetId="6" r:id="rId6"/>
    <sheet name="ใบส่งเงิน 1" sheetId="7" r:id="rId7"/>
    <sheet name="ใบส่งเงิน 2" sheetId="8" r:id="rId8"/>
    <sheet name="ใบส่งเงิน 3" sheetId="9" r:id="rId9"/>
    <sheet name="ใบนำส่งทั่วไป" sheetId="10" r:id="rId10"/>
    <sheet name="รายรับ" sheetId="11" r:id="rId11"/>
    <sheet name="รายจ่าย" sheetId="12" r:id="rId12"/>
    <sheet name="รายได้" sheetId="13" r:id="rId13"/>
    <sheet name="Sheet4" sheetId="14" r:id="rId14"/>
    <sheet name="Sheet5" sheetId="15" r:id="rId15"/>
  </sheets>
  <definedNames>
    <definedName name="_xlnm.Print_Titles" localSheetId="5">'เงินค้ำประกัน'!$5:$5</definedName>
    <definedName name="_xlnm.Print_Titles" localSheetId="11">'รายจ่าย'!$2:$3</definedName>
  </definedNames>
  <calcPr fullCalcOnLoad="1"/>
</workbook>
</file>

<file path=xl/sharedStrings.xml><?xml version="1.0" encoding="utf-8"?>
<sst xmlns="http://schemas.openxmlformats.org/spreadsheetml/2006/main" count="1130" uniqueCount="593">
  <si>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</si>
  <si>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</si>
  <si>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</si>
  <si>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</si>
  <si>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</si>
  <si>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</si>
  <si>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</si>
  <si>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</si>
  <si>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</si>
  <si>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</si>
  <si>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</si>
  <si>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</si>
  <si>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</si>
  <si>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</si>
  <si>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</si>
  <si>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</si>
  <si>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</si>
  <si>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</si>
  <si>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</si>
  <si>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</si>
  <si>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</si>
  <si>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</si>
  <si>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</si>
  <si>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</si>
  <si>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</si>
  <si>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</si>
  <si>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</si>
  <si>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</si>
  <si>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</si>
  <si>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</si>
  <si>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</si>
  <si>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</si>
  <si>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</si>
  <si>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</si>
  <si>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</si>
  <si>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</si>
  <si>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</si>
  <si>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</si>
  <si>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5450</t>
  </si>
  <si>
    <t>6450</t>
  </si>
  <si>
    <t>ค่าที่ดินและสิ่งก่อสร้าง</t>
  </si>
  <si>
    <t>6500</t>
  </si>
  <si>
    <t>เงินสะสม</t>
  </si>
  <si>
    <t>700</t>
  </si>
  <si>
    <t>เงินรับฝาก (หมายเหตุ 2)</t>
  </si>
  <si>
    <t>900</t>
  </si>
  <si>
    <t>ลูกหนี้เงินยืม เงินงบประมาณ</t>
  </si>
  <si>
    <t>090</t>
  </si>
  <si>
    <t>ลูกหนี้เงินยืมเงินสะสม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</si>
  <si>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</si>
  <si>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</si>
  <si>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</si>
  <si>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</si>
  <si>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</si>
  <si>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รหัสบัญชี</t>
  </si>
  <si>
    <t>เดบิท</t>
  </si>
  <si>
    <t>เครดิต</t>
  </si>
  <si>
    <t>เงินสด</t>
  </si>
  <si>
    <t>010</t>
  </si>
  <si>
    <t>022</t>
  </si>
  <si>
    <t>ลูกหนี้เงินยืมเงินงบประมาณ</t>
  </si>
  <si>
    <t>ลูกหนี้เงินยืมสะสม</t>
  </si>
  <si>
    <t>รายได้ค้างรับ</t>
  </si>
  <si>
    <t>000</t>
  </si>
  <si>
    <t>600</t>
  </si>
  <si>
    <t xml:space="preserve"> - 2 -</t>
  </si>
  <si>
    <t>รับ</t>
  </si>
  <si>
    <t>จ่าย</t>
  </si>
  <si>
    <t>หมายเหตุ</t>
  </si>
  <si>
    <t>เงินรับฝาก  (หมายเหตุ 2)</t>
  </si>
  <si>
    <t>รวมเงินรับฝาก</t>
  </si>
  <si>
    <t>0101</t>
  </si>
  <si>
    <t>0102</t>
  </si>
  <si>
    <t>0103</t>
  </si>
  <si>
    <t>0104</t>
  </si>
  <si>
    <t>0121</t>
  </si>
  <si>
    <t>0125</t>
  </si>
  <si>
    <t>0148</t>
  </si>
  <si>
    <t>ผู้จัดทำ</t>
  </si>
  <si>
    <t xml:space="preserve">บัญชีเงินรับฝาก </t>
  </si>
  <si>
    <t>จำนวนเงิน</t>
  </si>
  <si>
    <t xml:space="preserve">เงินฝากธนาคาร   ประเภท  ออมทรัพย์ </t>
  </si>
  <si>
    <t>เงินฝากธนาคาร   ประเภท  กระแสรายวัน</t>
  </si>
  <si>
    <t>5100</t>
  </si>
  <si>
    <t>5120</t>
  </si>
  <si>
    <t>5130</t>
  </si>
  <si>
    <t>5200</t>
  </si>
  <si>
    <t>5250</t>
  </si>
  <si>
    <t>5300</t>
  </si>
  <si>
    <t>ลูกหนี้เงินยืม -  เงินงบประมาณ</t>
  </si>
  <si>
    <t>021</t>
  </si>
  <si>
    <t>เงินทุนสำรองเงินสะสม</t>
  </si>
  <si>
    <t>เงินสะสม  -  จ่ายขาดเงินสะสม</t>
  </si>
  <si>
    <t>5000</t>
  </si>
  <si>
    <t xml:space="preserve"> - จึงเรียนมาเพื่อโปรดทราบ</t>
  </si>
  <si>
    <t xml:space="preserve">       ตรวจสอบแล้วถูกต้อง</t>
  </si>
  <si>
    <t>(นางสาววันเพ็ญ   จู๋หมื่นไวย)</t>
  </si>
  <si>
    <t xml:space="preserve">        หัวหน้าส่วนการคลัง</t>
  </si>
  <si>
    <t xml:space="preserve"> - ส่วนการคลังได้จัดทำงบทดลองและรายงานรับ-จ่ายเงินสด</t>
  </si>
  <si>
    <r>
      <t>รายรับ</t>
    </r>
    <r>
      <rPr>
        <b/>
        <sz val="14"/>
        <rFont val="AngsanaUPC"/>
        <family val="1"/>
      </rPr>
      <t xml:space="preserve"> (หมายเหตุ 1)</t>
    </r>
  </si>
  <si>
    <t>เงินสำรองรายรับ</t>
  </si>
  <si>
    <t>6250</t>
  </si>
  <si>
    <t xml:space="preserve">รายจ่ายค้างจ่าย  </t>
  </si>
  <si>
    <t>ตรวจสอบแล้วถูกต้อง</t>
  </si>
  <si>
    <t>องค์การบริหารส่วนตำบลหนองหอย</t>
  </si>
  <si>
    <t>เรียน นายก/ปลัดองค์การบริหารส่วนตำบลหนองหอย</t>
  </si>
  <si>
    <t xml:space="preserve">       (นางสาวลำจวน  สมบูรณ์นอก)</t>
  </si>
  <si>
    <t xml:space="preserve">   เจ้าพนักงานการเงินและบัญชี </t>
  </si>
  <si>
    <t>ปลัดองค์การบริหารส่วนตำบลหนองหอย</t>
  </si>
  <si>
    <t>รวมทั้งสิ้น</t>
  </si>
  <si>
    <t xml:space="preserve">                                       การรับเงิน การเบิกจ่ายเงิน การฝากเงิน การเก็บรักษาเงินและการ</t>
  </si>
  <si>
    <t xml:space="preserve">                                       ตรวจเงินขององค์กรปกครองส่วนท้องถิ่น พ.ศ. 2547</t>
  </si>
  <si>
    <t xml:space="preserve">                                        หมวด 10  ข้อ  99</t>
  </si>
  <si>
    <t>ลูกหนี้เงินยืม -  เงินสะสม</t>
  </si>
  <si>
    <t xml:space="preserve"> (  นายสมมิตร  ขันธการุญวงศ์)</t>
  </si>
  <si>
    <t>เงินอุดหนุนเฉพาะกิจค้างจ่าย</t>
  </si>
  <si>
    <t>เงินอุดหนุนระบุวัตถุประสงค์</t>
  </si>
  <si>
    <t>6000</t>
  </si>
  <si>
    <t>6130</t>
  </si>
  <si>
    <t>6270</t>
  </si>
  <si>
    <t xml:space="preserve">เงินอุดหนุนระบุวัตถุประสงค์ค้างจ่าย </t>
  </si>
  <si>
    <t>อำเภอพระทองคำ     จังหวัดนครราชสีมา</t>
  </si>
  <si>
    <t xml:space="preserve">                                    - นำรายงานอำเภอพระทองคำ ตามระเบียบกระทรวงมหาดไทยว่าด้วย</t>
  </si>
  <si>
    <t xml:space="preserve">ประจำเดือน   มีนาคม  2551 </t>
  </si>
  <si>
    <t xml:space="preserve">                                                     รองนายกองค์การบริหารส่วนตำบลหนองหอย</t>
  </si>
  <si>
    <t xml:space="preserve">                                          รักษาราชการแทนนายกองค์การบริหารส่วนตำบลหนองหอย</t>
  </si>
  <si>
    <t xml:space="preserve">                                                                  (นายผิน  สาดกำปัง)</t>
  </si>
  <si>
    <t xml:space="preserve">งบทดลอง  </t>
  </si>
  <si>
    <t>รายรับงบเฉพาะการกิจการประปา</t>
  </si>
  <si>
    <t>6200</t>
  </si>
  <si>
    <t>รายจ่ายรอจ่าย</t>
  </si>
  <si>
    <t>ปีงบประมาณ…2552.</t>
  </si>
  <si>
    <t xml:space="preserve">เจ้าพนักงานการเงินและบัญชี                                        หัวหน้าส่วนการคลัง                </t>
  </si>
  <si>
    <t>(นายสมมิตร ขันธการุญวงศ์)</t>
  </si>
  <si>
    <t xml:space="preserve">…………………………..(ผู้จัดทำ)              …………………………(ผู้ตรวจสอบ)                     ...............................(ผู้ตรวจสอบ)      </t>
  </si>
  <si>
    <t>6300</t>
  </si>
  <si>
    <t xml:space="preserve">รายรับตามงบประมาณ  (หมายเหตุ 1)  </t>
  </si>
  <si>
    <t>7000</t>
  </si>
  <si>
    <t xml:space="preserve">    ปลัด อบต.หนองหอย</t>
  </si>
  <si>
    <t xml:space="preserve">  (นางสาวลำจวน  สมบูรณ์นอก)                          (นางสาวชุติกาญจน์  จู๋หมื่นไวย)               </t>
  </si>
  <si>
    <t>(นางสาวชุติกาญจน์ จู๋หมื่นไวย)</t>
  </si>
  <si>
    <t xml:space="preserve">                                                        ประจำเดือน สิงหาคม  พ.ศ.  2552</t>
  </si>
  <si>
    <t xml:space="preserve">      ตรวจสอบถูกต้อง</t>
  </si>
  <si>
    <t xml:space="preserve">       หัวหน้าส่วนการคลัง</t>
  </si>
  <si>
    <t>เงินอุดหนุนทั่วไป</t>
  </si>
  <si>
    <t>เงินเดือนข้าราชการการเมือง</t>
  </si>
  <si>
    <t>เงินเดือนข้าราชการประจำ</t>
  </si>
  <si>
    <t>รายจ่ายอื่น ๆ</t>
  </si>
  <si>
    <t xml:space="preserve">รายจ่ายอื่น ๆ </t>
  </si>
  <si>
    <t>นายกองค์การบริหารส่วนตำบล</t>
  </si>
  <si>
    <t>ใบผ่านรายการบัญชีมาตรฐาน</t>
  </si>
  <si>
    <t>ฝ่าย………กองคลัง…………………….</t>
  </si>
  <si>
    <t>หน้าบัญชี</t>
  </si>
  <si>
    <t>1</t>
  </si>
  <si>
    <t>เงินฝากธนาคารกระแสรายวัน</t>
  </si>
  <si>
    <t>2</t>
  </si>
  <si>
    <t>เงินฝากธนาคารออมทรัพย์</t>
  </si>
  <si>
    <t xml:space="preserve">             เงินสด</t>
  </si>
  <si>
    <t xml:space="preserve">             บัญชีเงินรายรับ</t>
  </si>
  <si>
    <t xml:space="preserve">             เงินรับฝาก -  เงินส่วนลด ภบท. 6%</t>
  </si>
  <si>
    <t xml:space="preserve">            เงินรับฝาก  -  ค่าใช้จ่าย ภบท.    5%</t>
  </si>
  <si>
    <r>
      <t>คำอธิบาย</t>
    </r>
    <r>
      <rPr>
        <sz val="16"/>
        <rFont val="AngsanaUPC"/>
        <family val="1"/>
      </rPr>
      <t xml:space="preserve">        เพื่อบันทึก</t>
    </r>
  </si>
  <si>
    <t>ผู้อนุมัติ</t>
  </si>
  <si>
    <t>(นางสาวชุติกาญจน์     จู๋หมื่นไวย)</t>
  </si>
  <si>
    <t>หัวหน้าส่วนการคลัง</t>
  </si>
  <si>
    <t>ฝ่าย…………กองคลัง………………….</t>
  </si>
  <si>
    <t>เงินเดือนข้าราชการฝ่ายประจำ</t>
  </si>
  <si>
    <t>เงินเดือนข้าราชการการฝ่ายการเมือง</t>
  </si>
  <si>
    <t>เงินเดือนลูกจ้างประจำ</t>
  </si>
  <si>
    <t>ภาษีหัก ณ ที่จ่าย</t>
  </si>
  <si>
    <t>ลูกหนี้ - เงินยืมเงินรายได้</t>
  </si>
  <si>
    <t xml:space="preserve">           เงินฝากธนาคารกระแสรายวัน</t>
  </si>
  <si>
    <t>ฝ่าย……………กองคลัง……………….</t>
  </si>
  <si>
    <t>เงินรายรับ</t>
  </si>
  <si>
    <t xml:space="preserve">            ภาษีโรงเรือนและที่ดิน</t>
  </si>
  <si>
    <t xml:space="preserve">           ภาษีบำรุงท้องที่</t>
  </si>
  <si>
    <t xml:space="preserve">           ภาษีป้าย</t>
  </si>
  <si>
    <t xml:space="preserve">           อากรฆ่าสัตว์</t>
  </si>
  <si>
    <t xml:space="preserve">           ภาษีสุรา</t>
  </si>
  <si>
    <t>1005</t>
  </si>
  <si>
    <t xml:space="preserve">           ภาษีสรรพสามิต</t>
  </si>
  <si>
    <t>1006</t>
  </si>
  <si>
    <t xml:space="preserve">           ภาษีมูลค่าเพิ่ม  1  ใน 9</t>
  </si>
  <si>
    <t>1001</t>
  </si>
  <si>
    <t xml:space="preserve">           ภาษีมูลค่าเพิ่ม ตาม พ.ร.บ</t>
  </si>
  <si>
    <t>1002</t>
  </si>
  <si>
    <t xml:space="preserve">           ภาษีธุรกิจเฉพาะ</t>
  </si>
  <si>
    <t>1004</t>
  </si>
  <si>
    <t xml:space="preserve">           ค่าภาคหลวงแร่</t>
  </si>
  <si>
    <t>1010</t>
  </si>
  <si>
    <t xml:space="preserve">           ค่าภาคหลวงปิโตรเลียม</t>
  </si>
  <si>
    <t>1011</t>
  </si>
  <si>
    <t>1013</t>
  </si>
  <si>
    <t xml:space="preserve">           ค่าธรรมเนียมเกี่ยวกับกิจการที่เป็นอันตรายต่อสุขภาพ</t>
  </si>
  <si>
    <t xml:space="preserve">           ค่าธรรมเนียมเกี่ยวกับการควบคุมอาคาร</t>
  </si>
  <si>
    <t xml:space="preserve">           ค่าใบอนุญาตก่อสร้างอาคาร</t>
  </si>
  <si>
    <t>0146</t>
  </si>
  <si>
    <t xml:space="preserve">           ค่าขายแบบแปลน</t>
  </si>
  <si>
    <t>0302</t>
  </si>
  <si>
    <t xml:space="preserve">            ดอกเบี้ยเงินฝากธนาคาร</t>
  </si>
  <si>
    <t>ใบผ่านรายการบัญชีทั่วไป</t>
  </si>
  <si>
    <t xml:space="preserve"> เงินฝากธนาคารกระแสรายวัน</t>
  </si>
  <si>
    <t xml:space="preserve">             เงินฝากธนาคารออมทรัพย์</t>
  </si>
  <si>
    <t>ปรับปรุงบัญชีเงินฝากธนาคารออมทรัพย์</t>
  </si>
  <si>
    <t>เลขที่  ……../2554……</t>
  </si>
  <si>
    <t xml:space="preserve">             เงินรับฝาก - เงินประกันสัญญา</t>
  </si>
  <si>
    <t xml:space="preserve">             เงินสะสม</t>
  </si>
  <si>
    <r>
      <t>คำอธิบาย</t>
    </r>
    <r>
      <rPr>
        <sz val="14"/>
        <rFont val="AngsanaUPC"/>
        <family val="1"/>
      </rPr>
      <t xml:space="preserve">        เพื่อบันทึก</t>
    </r>
  </si>
  <si>
    <t>หมายเหตุ  ๒</t>
  </si>
  <si>
    <t>หมายเหตุ   ๓</t>
  </si>
  <si>
    <t xml:space="preserve"> - ๒ -</t>
  </si>
  <si>
    <t>วดป</t>
  </si>
  <si>
    <t>เดบิต</t>
  </si>
  <si>
    <t>ธกส</t>
  </si>
  <si>
    <t>กรุงไทย</t>
  </si>
  <si>
    <t>เงิน 5%</t>
  </si>
  <si>
    <t>เงิน 6%</t>
  </si>
  <si>
    <t>เงินประกันสัญญา</t>
  </si>
  <si>
    <t xml:space="preserve">อื่น ๆ </t>
  </si>
  <si>
    <t>เลขที่เช็ค</t>
  </si>
  <si>
    <t>รายรับ</t>
  </si>
  <si>
    <t>มูลค่าเพิ่ม 1ใน 9</t>
  </si>
  <si>
    <t>องค์การบริหารส่วนตำบลหนองบัวละคร</t>
  </si>
  <si>
    <t xml:space="preserve">                           ผู้จัดทำ</t>
  </si>
  <si>
    <t>รวม</t>
  </si>
  <si>
    <t>ธกส.  221-2-39403-0</t>
  </si>
  <si>
    <t>ธุรกิจเฉพาะ</t>
  </si>
  <si>
    <t>ภาษีสุรา</t>
  </si>
  <si>
    <t>ภาษีสรรพสามิต</t>
  </si>
  <si>
    <t>ค่าภาคแร่หลวง</t>
  </si>
  <si>
    <t>นิติกรรมที่ดิน</t>
  </si>
  <si>
    <t>เครบิต</t>
  </si>
  <si>
    <t>อื่น   ๆ</t>
  </si>
  <si>
    <t>"090"</t>
  </si>
  <si>
    <t xml:space="preserve"> ธ.กรุงไทย  เลขที่  305-1-33707-2</t>
  </si>
  <si>
    <t>๐๒๒</t>
  </si>
  <si>
    <t>เศรษฐกิจชุมชน</t>
  </si>
  <si>
    <t>.</t>
  </si>
  <si>
    <t xml:space="preserve">        ธ.กรุงไทย  เลขที่  305-6-01410-7</t>
  </si>
  <si>
    <t xml:space="preserve">      ธกส. เลขที่  221-2-339403-0</t>
  </si>
  <si>
    <t xml:space="preserve">      ธกส. เลขที่  221-2-53427-2</t>
  </si>
  <si>
    <t>…………………………………………………………………………..</t>
  </si>
  <si>
    <t>……</t>
  </si>
  <si>
    <t>….</t>
  </si>
  <si>
    <t>………………………….</t>
  </si>
  <si>
    <t>…..</t>
  </si>
  <si>
    <t>..</t>
  </si>
  <si>
    <t xml:space="preserve">                ภาษีหัก ณ ที่จ่าย</t>
  </si>
  <si>
    <t xml:space="preserve">                ธ.กรุงไทย  เลขที่  305-1-33707-2</t>
  </si>
  <si>
    <t xml:space="preserve">                ธกส.  221-2-39403-0</t>
  </si>
  <si>
    <t>งบกลาง -เบี้ยยังชีพคนชรา</t>
  </si>
  <si>
    <t>งบกลาง- เบี้ยยังชีพคนพิการ</t>
  </si>
  <si>
    <t>สิ่งก่อสร้าง</t>
  </si>
  <si>
    <t xml:space="preserve">    (นางสาวชุติกาญจน์    จู๋หมื่นไวย)</t>
  </si>
  <si>
    <t>ลูกหนี้ -  เงินยืมงบประมาณ</t>
  </si>
  <si>
    <t>ปรับปรุงบัญชีเงินเบี้ยยังชีพคนชราและเบี้ยยังชีพคนพิการและบัญชีลูกหนี้เงินยืม</t>
  </si>
  <si>
    <t>เศรษฐกิจ</t>
  </si>
  <si>
    <t>เงินรับ</t>
  </si>
  <si>
    <t>เงินจ่าย</t>
  </si>
  <si>
    <t>คงหลือ</t>
  </si>
  <si>
    <t>ค่าขายแบบ</t>
  </si>
  <si>
    <t xml:space="preserve">           เงินอุดหนุนด้านการศึกษา  (เงินเดิอนครู)</t>
  </si>
  <si>
    <t>ภาษีหัก หน้าฏีกา</t>
  </si>
  <si>
    <t xml:space="preserve">    (นางสาวณิชาพร    หร่ายขุนทด)</t>
  </si>
  <si>
    <t>เจ้าพนักงานการเงินและบัญชี</t>
  </si>
  <si>
    <t>ผู้บันทึกบัญชี</t>
  </si>
  <si>
    <t>(นางสาวณิชาพร    หร่ายขุนทด)</t>
  </si>
  <si>
    <t>เจ้าพนักการเงินและบัญชี</t>
  </si>
  <si>
    <t xml:space="preserve">  -   ทราบ</t>
  </si>
  <si>
    <t xml:space="preserve">  -   นำรายงานอำเภอต่อไป</t>
  </si>
  <si>
    <t>"902"</t>
  </si>
  <si>
    <t>ใบควบคุมอาคาร</t>
  </si>
  <si>
    <t>เงินครู</t>
  </si>
  <si>
    <t xml:space="preserve">           ค่าธรรมเนียมจดทะเบียนสิทธิ์และนิติกรรม</t>
  </si>
  <si>
    <t>วันครบกำหนด</t>
  </si>
  <si>
    <t xml:space="preserve">  สัญญายืมเงินเลขที่               /2554</t>
  </si>
  <si>
    <t>ภาษีบำรุงท้องที่</t>
  </si>
  <si>
    <t xml:space="preserve">             เงินรับฝาก -  ลูกหนี้เงินยืมงบประมาณ</t>
  </si>
  <si>
    <t>ธ.กรุงไทย  เลขที่  305-1-33707-2</t>
  </si>
  <si>
    <t>มูลค่าเพิ่มตาม พรบ.</t>
  </si>
  <si>
    <t>คนพิการ</t>
  </si>
  <si>
    <t xml:space="preserve"> เงินฝากธนาคาออมทรัพย์</t>
  </si>
  <si>
    <t xml:space="preserve">             เงินฝากธนาคารกระแสรายวัน</t>
  </si>
  <si>
    <t>กรุงไทย  เลขที่ 305-1-33707-2</t>
  </si>
  <si>
    <t>ธกส.   เลขที่  221-2-339403-0</t>
  </si>
  <si>
    <t xml:space="preserve">           เงินอุดหนุนเฉพาะกิจ - เบี้ยยังชีพคนพิการ</t>
  </si>
  <si>
    <t>ภาษีหัก ณ  ที่จ่าย</t>
  </si>
  <si>
    <t>ประกันสัญญา</t>
  </si>
  <si>
    <t>ทะเบียนรายรับเดือนกันยายน  2554</t>
  </si>
  <si>
    <t>ทะเบียนรายจ่ายเดือนกันยายน  2554</t>
  </si>
  <si>
    <t>ก 0134474</t>
  </si>
  <si>
    <t>ก 0134475</t>
  </si>
  <si>
    <t>ก 0134476</t>
  </si>
  <si>
    <t>"7002"</t>
  </si>
  <si>
    <t>ยกเลิก</t>
  </si>
  <si>
    <t>ทะเบียนรายรับเดือน   กันยายน  2554</t>
  </si>
  <si>
    <t>ค่าธรรมเนียมควบคุม</t>
  </si>
  <si>
    <t>ดอกเบี้ย</t>
  </si>
  <si>
    <t>วันที่  30   กันยายน  2554</t>
  </si>
  <si>
    <t xml:space="preserve">                               รายการจากสมุดเงินสดรับไปยังบัญชีแยกประเภทที่เกี่ยวข้องประจำเดือน กันยายน 2554</t>
  </si>
  <si>
    <t xml:space="preserve">       วันที่       30   กันยายน  2554</t>
  </si>
  <si>
    <t xml:space="preserve">       เลขที่      3/ก.ย/2554</t>
  </si>
  <si>
    <t xml:space="preserve">        ธ.กรุงไทย  เลขที่  305-1-33707-2</t>
  </si>
  <si>
    <t xml:space="preserve">            เงินรับฝาก  - ดอกเบี้ยเงินทุนเศรษฐกิจชุมชน</t>
  </si>
  <si>
    <t xml:space="preserve">                               รายการจากสมุดเงินสดรับไปยังบัญชีแยกประเภทที่เกี่ยวข้องประจำเดือน  กันยายน  2554</t>
  </si>
  <si>
    <t xml:space="preserve">             เงินรายได้ค่าปรับผิดสัญญา</t>
  </si>
  <si>
    <t xml:space="preserve">                               รายการจากสมุดเงินสดจ่ายไปยังบัญชีแยกประเภทที่เกี่ยวข้องประจำเดือน  กันยายน  2554</t>
  </si>
  <si>
    <t xml:space="preserve">       วันที่    3  กันยายน  2554</t>
  </si>
  <si>
    <t xml:space="preserve">       เลขที่      2/ก.ย/2554</t>
  </si>
  <si>
    <t xml:space="preserve">       เลขที่      1/ก.ย/2554</t>
  </si>
  <si>
    <t xml:space="preserve">       วันที่      30   กันยายน   2554</t>
  </si>
  <si>
    <t>เงินค่าใช้จ่าย  5 %</t>
  </si>
  <si>
    <t>เงินส่วนลด   6 %</t>
  </si>
  <si>
    <t>รายได้ค่าปรับผิดสัญญา</t>
  </si>
  <si>
    <t>821</t>
  </si>
  <si>
    <t>905</t>
  </si>
  <si>
    <t>906</t>
  </si>
  <si>
    <t>ปรับปรุงบัญชีเงินรายได้ เงินนอกงบประมาณเพื่อแยกไปบัญชีที่เกี่ยวข้อง</t>
  </si>
  <si>
    <t>ค่าปรับ</t>
  </si>
  <si>
    <t xml:space="preserve">           ค่าปรับผิดสัญญา</t>
  </si>
  <si>
    <t xml:space="preserve">            เงินร่ายได้ค้างรับ</t>
  </si>
  <si>
    <t>5102</t>
  </si>
  <si>
    <t>ปรับปรุงบัญชีวันที่  30  กันยายน 2553  เนื่องจากลงบัญชีผิดพลาดเพื่อปรับปรุงบัญชีแยกประเภทที่เกี่ยวข้อง</t>
  </si>
  <si>
    <t>ปรับปรุงบัญชีวันที่  25   กุมภาพันธ์  2554  เนื่องจากลงบัญชีผิดไปยังบัญชีแยกประเภทที่เกี่ยวข้อง</t>
  </si>
  <si>
    <t>งบกลาง- เงินประกันสังคม</t>
  </si>
  <si>
    <t>ปรับปรุงบัญชีงบกลาง-เงินอุดหนุนเฉพาะกิจประกันสังคมครูศูนย์ฯ เพื่อปรับปรุงบัญชีแยกประเภทที่เกี่ยวข้อง</t>
  </si>
  <si>
    <t>เงินรายได้-เงินอุดหนุนค่าตอบครูศูนย์เด็กเล็ก</t>
  </si>
  <si>
    <t>เงินรายได้-เงินอุดหนุนเบี้ยยังชีพคนพิการ</t>
  </si>
  <si>
    <t>ปรับปรุงบัญชีกรกฏาคม  2554  เนื่องจากลงบัญชีผิดเพื่อปรับปรุงบัญชีแยกประเภทที่เกี่ยวข้อง</t>
  </si>
  <si>
    <t>หมายเหตุ 1</t>
  </si>
  <si>
    <t xml:space="preserve">   องค์การบริหารส่วนตำบลเมืองนาท    </t>
  </si>
  <si>
    <t>รายรับจริงประกอบงบทดลองและรายงานรับ-จ่ายเงินสด</t>
  </si>
  <si>
    <t>รับจริงทั้งปี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</si>
  <si>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</si>
  <si>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</si>
  <si>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</si>
  <si>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</si>
  <si>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</si>
  <si>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</si>
  <si>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(5) ภาษีบำรุง อบจ.จากสถานค้าปลีกยาสูบ</t>
  </si>
  <si>
    <t>0105</t>
  </si>
  <si>
    <t>(6) ภาษีบำรุง อบจ.จากสถานค้าปลีกน้ำมัน</t>
  </si>
  <si>
    <t>0106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</si>
  <si>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</si>
  <si>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</si>
  <si>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</si>
  <si>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</si>
  <si>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</si>
  <si>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</si>
  <si>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</si>
  <si>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</si>
  <si>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</si>
  <si>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</si>
  <si>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0126</t>
  </si>
  <si>
    <t>(7) ค่าธรรมเนียมเก็บและขนอุจจาระหรือสิ่งปฏิกูล</t>
  </si>
  <si>
    <t>0127</t>
  </si>
  <si>
    <t>(8) ค่าธรรมเนียมในการออกหนังสือรับรองการแจ้งการจัด</t>
  </si>
  <si>
    <t>0128</t>
  </si>
  <si>
    <t>ตั้งสถานที่จำหน่ายอาหารหรือสถานที่สะสมอาหารในอาคาร</t>
  </si>
  <si>
    <t>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</si>
  <si>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</si>
  <si>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0129</t>
  </si>
  <si>
    <t>(10) ค่าธรรมเนียมปิดแผ่นป้ายประกาศหรือเขียนข้อความ</t>
  </si>
  <si>
    <t>0130</t>
  </si>
  <si>
    <t xml:space="preserve">หรือภาพ ติดตั้ง เขียนป้าย หรือเอกสาร หรือทิ้ง </t>
  </si>
  <si>
    <t>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</si>
  <si>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</si>
  <si>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0131</t>
  </si>
  <si>
    <t>(12) ค่าธรรมเนียมเกี่ยวกับบัตรประจำตัวประชาชน</t>
  </si>
  <si>
    <t>0132</t>
  </si>
  <si>
    <t>(13) ค่าธรรมเนียมเกี่ยวกับโรคพิษสุนัขบ้า</t>
  </si>
  <si>
    <t>0133</t>
  </si>
  <si>
    <t>(14) ค่าธรรมเนียมเกี่ยวกับการส่งเสริมและรักษาคุณภาพ</t>
  </si>
  <si>
    <t>0134</t>
  </si>
  <si>
    <t>สิ่งแวดล้อมแห่งชาติ</t>
  </si>
  <si>
    <t>(15) ค่าธรรมเนียมบำรุง อบจ.จากผู้เข้าพักโรงแรม</t>
  </si>
  <si>
    <t>0135</t>
  </si>
  <si>
    <t>(16) ค่าปรับผู้กระทำผิดกฎหมายการจัดระเบียบจอดยานยนต์</t>
  </si>
  <si>
    <t>0136</t>
  </si>
  <si>
    <t>(17) ค่าปรับผู้กระทำผิดกฎหมายจราจรทางบก</t>
  </si>
  <si>
    <t>0137</t>
  </si>
  <si>
    <t>(18) ค่าปรับผู้กระทำผิดกฎหมายการป้องกันและระงับอัคคีภัย</t>
  </si>
  <si>
    <t>0138</t>
  </si>
  <si>
    <t>(19) ค่าปรับผู้กระทำผิดกฎหมายและข้อบังคับท้องถิ่น</t>
  </si>
  <si>
    <t>0139</t>
  </si>
  <si>
    <t>(20) ค่าปรับการผิดสัญญา</t>
  </si>
  <si>
    <t>0140</t>
  </si>
  <si>
    <t>(21) ค่าปรับอื่นๆ</t>
  </si>
  <si>
    <t>0141</t>
  </si>
  <si>
    <t>0142</t>
  </si>
  <si>
    <t>(23) ค่าใบอนุญาตจัดตั้งตลาด</t>
  </si>
  <si>
    <t>0143</t>
  </si>
  <si>
    <t>(24) ค่าใบอนุญาตจัดตั้งสถานที่จำหน่ายอาหารหรือสถานที่สะสม</t>
  </si>
  <si>
    <t>0144</t>
  </si>
  <si>
    <t>อาหารในอาคารหรือพื้นที่ใด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</si>
  <si>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</si>
  <si>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0145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</si>
  <si>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</si>
  <si>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</si>
  <si>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0147</t>
  </si>
  <si>
    <t>(28) ค่าใบอนุญาตอื่นๆ</t>
  </si>
  <si>
    <t>(29) ค่าธรรมเนียมอื่นๆ</t>
  </si>
  <si>
    <t>0149</t>
  </si>
  <si>
    <t>(30) ค่าอนุญาตให้ใช้สถานที่ประกอบกิจการที่เป็นอันตรายต่อ</t>
  </si>
  <si>
    <t>สุขภาพ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</si>
  <si>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</si>
  <si>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</si>
  <si>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</si>
  <si>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0201</t>
  </si>
  <si>
    <t>(3) ดอกเบี้ย</t>
  </si>
  <si>
    <t>0202</t>
  </si>
  <si>
    <t>(4) เงินปันผลหรือเงินรางวัลต่างๆ</t>
  </si>
  <si>
    <t>0203</t>
  </si>
  <si>
    <t>(5) ค่าตอบแทนตามที่กฎหมายกำหนด</t>
  </si>
  <si>
    <t>0204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</si>
  <si>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</si>
  <si>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</si>
  <si>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0251</t>
  </si>
  <si>
    <t>(2) เงินสะสมจากการโอนกิจการสาธารณูปโภคหรือการพาณิชย์</t>
  </si>
  <si>
    <t>0252</t>
  </si>
  <si>
    <t>(3) รายได้จากสาธารณูปโภคและการพาณิชย์</t>
  </si>
  <si>
    <t>0253</t>
  </si>
  <si>
    <t>หมวดรายได้เบ็ดเตล็ด</t>
  </si>
  <si>
    <t>(1) เงินที่มีผู้อุทิศให้</t>
  </si>
  <si>
    <t>(2) ค่าขายแบบแปลน</t>
  </si>
  <si>
    <t>0301</t>
  </si>
  <si>
    <t>(3) ค่าเขียนแบบแปลน</t>
  </si>
  <si>
    <t>(4) ค่าจำหน่ายแบบพิมพ์และคำร้อง</t>
  </si>
  <si>
    <t>0303</t>
  </si>
  <si>
    <t>(5) ค่ารับรองสำเนาและถ่ายเอกสาร</t>
  </si>
  <si>
    <t>0304</t>
  </si>
  <si>
    <t>0305</t>
  </si>
  <si>
    <t>(7) รายได้เบ็ดเตล็ดอื่นๆ</t>
  </si>
  <si>
    <t>0306</t>
  </si>
  <si>
    <t>หมวดรายได้จากทุน</t>
  </si>
  <si>
    <t>(1)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</si>
  <si>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</si>
  <si>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 หมวดภาษีจัดสรร</t>
  </si>
  <si>
    <t>(1) ภาษีมูลค่าเพิ่ม</t>
  </si>
  <si>
    <t xml:space="preserve"> - พรบ. กำหนดแผนฯจากภาษีมูลค่าเพิ่ม</t>
  </si>
  <si>
    <t xml:space="preserve">  - (1 ใน 9)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</si>
  <si>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</si>
  <si>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</si>
  <si>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</si>
  <si>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</si>
  <si>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ค่าธรรมเนียมจดทะเบียนอสังหาริมทรัพย์และนิติกรรมที่ดิน</t>
  </si>
  <si>
    <t xml:space="preserve">                                </t>
  </si>
  <si>
    <t>(7) ภาษีการพนัน</t>
  </si>
  <si>
    <t>1007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</si>
  <si>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</si>
  <si>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</si>
  <si>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</si>
  <si>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</si>
  <si>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 (ยอดรวม)</t>
  </si>
  <si>
    <t xml:space="preserve">                       ตามอำนาจหน้าที่</t>
  </si>
  <si>
    <t xml:space="preserve">      อาหารเสริม(นม)</t>
  </si>
  <si>
    <t xml:space="preserve">      อาหารกลางวัน</t>
  </si>
  <si>
    <t xml:space="preserve">      เบี้ยยังชีพผู้ป่วยเอดส์</t>
  </si>
  <si>
    <t>2.เงินอุดหนุนทั่วไประบุวัตถุประสงค์ (ยอดรวม)</t>
  </si>
  <si>
    <t xml:space="preserve">    (2.1) เงินอุดหนุนทั่วไป-เพื่อสนับสนุนกิจการบริการฯตาม</t>
  </si>
  <si>
    <t>ยุทธศาสตร์การพัฒนาประเทศ</t>
  </si>
  <si>
    <t xml:space="preserve">    (2.2)  เงินอุดหนุนทั่วไป-สนับสนุนศพด.-จัดการเรียนการสอน</t>
  </si>
  <si>
    <t xml:space="preserve">    (2.3) เงินอุดหนุนทั่วไป-สนับสนุนศพด.พนักงานผู้ดูแลเด็ก</t>
  </si>
  <si>
    <t xml:space="preserve">    (2.4) เงินอุดหนุนทั่วไป(เบี้ยยังชีพคนชรา)</t>
  </si>
  <si>
    <t xml:space="preserve">    (2.5) เงินอุดหนุนทั่วไป(เบี้ยยังชีพผู้พิการหรือทุพพลภาพ)</t>
  </si>
  <si>
    <t xml:space="preserve">    (2.6) เงินอุดหนุนทั่วไป-ฝึกอบรมอาชีพฯ(บำบัดฟื้นฟู)</t>
  </si>
  <si>
    <t xml:space="preserve">    (2.7) เงินอุดหนุนทั่วไป-สำหรับส่งเสริมอาชีพฯ(บำบัดฟื้นฟู)</t>
  </si>
  <si>
    <t xml:space="preserve"> รวม</t>
  </si>
  <si>
    <t>รวมรายได้ทั้งสิ้น</t>
  </si>
  <si>
    <t>เงินอุดหนุนเฉพาะกิจ</t>
  </si>
  <si>
    <t xml:space="preserve"> </t>
  </si>
  <si>
    <t>9.  เงินรับฝาก- ส่งเสริมอาชีพบำบัดฟื้นฟู</t>
  </si>
  <si>
    <t>8.  เงินรับฝาก- อบรมอาชีพบำบัดฟื้นฟู</t>
  </si>
  <si>
    <t>7.  เงินรับฝาก- เบี้ยยังชีพคนชรา</t>
  </si>
  <si>
    <t>6.  เงินรับฝาก- คนพิการ</t>
  </si>
  <si>
    <t>5.  เงินทุนหมุนเวียนเศรษฐกิจชุมชน</t>
  </si>
  <si>
    <t>4.  เงินส่วนลด  ๖ %</t>
  </si>
  <si>
    <t>3.  เงินค่าใช้จ่าย  ๕%</t>
  </si>
  <si>
    <t xml:space="preserve">2.  เงินประกันสัญญา  </t>
  </si>
  <si>
    <t>1.  เงินภาษีหัก ณ ที่จ่าย</t>
  </si>
  <si>
    <t>10.  เงินรับฝาก- ยุทธศาสตร์พัฒนาประเทศ</t>
  </si>
  <si>
    <t>11.  เงินรับฝาก- ค่ารักษาพยาบาล</t>
  </si>
  <si>
    <t>12.  เงินรับฝาก- ค่าปรับผิดสัญญา</t>
  </si>
  <si>
    <t xml:space="preserve">บัญชีเงินรายจ่ายค้างจ่าย </t>
  </si>
  <si>
    <t>องค์การบริหารส่วนตำบลเมืองนาท</t>
  </si>
  <si>
    <t>อำเภอขามสะแกแสง     จังหวัดนครราชสีมา</t>
  </si>
  <si>
    <t xml:space="preserve">  ปีงบประมาณ   2559</t>
  </si>
  <si>
    <t>เงินอุดหนุนระบุ</t>
  </si>
  <si>
    <t xml:space="preserve">รวม  </t>
  </si>
  <si>
    <t xml:space="preserve">  (บาท)</t>
  </si>
  <si>
    <t>วัตถุประสงค์/</t>
  </si>
  <si>
    <t>เฉพาะกิจ (บาท)</t>
  </si>
  <si>
    <t>รายจ่ายค้างจ่าย  (หมายเหตุ 3)</t>
  </si>
  <si>
    <t>งบกลาง - เบี้ยยังชีพผู้สุงอายุ</t>
  </si>
  <si>
    <t>งบกลาง - เบี้ยยังชีพผู้พิการ</t>
  </si>
  <si>
    <t xml:space="preserve">…………………………..(ผู้จัดทำ)                                  …………………………(ผู้ตรวจสอบ)                                            ...............................(ผู้ตรวจสอบ)      </t>
  </si>
  <si>
    <t xml:space="preserve">  (นางสาวชุติกาญจน์   จู๋หมื่นไวย)                                  (นายสยาม    สังข์ศร )               </t>
  </si>
  <si>
    <t xml:space="preserve">  ผู้อำนวยการกองคลัง                                          ปลัดองค์การบริหารส่วนตำบล</t>
  </si>
  <si>
    <t xml:space="preserve">      (นายบุญช่วย   ขอชมกลาง)</t>
  </si>
  <si>
    <t xml:space="preserve">         นายก อบต.เมืองนาท</t>
  </si>
  <si>
    <t>รายได้จากรัฐบาลค้างรับ</t>
  </si>
  <si>
    <t xml:space="preserve">     บริการสาธารณสุข</t>
  </si>
  <si>
    <t>รายละเอียด ประกอบรายงานรับ - จ่ายเงินสด</t>
  </si>
  <si>
    <t>องค์การบริหารส่วนตำบลเมืองนาท  อำเภอขามสะแกแสง  จังหวัดนครราชสีมา</t>
  </si>
  <si>
    <t xml:space="preserve">                                 รวมเดือนนี้</t>
  </si>
  <si>
    <t xml:space="preserve">                                 รวมทั้งปี</t>
  </si>
  <si>
    <t>องค์การบริหารส่วนตำบลเมืองนาท   อำเภอขามสะแกแสง  จังหวัดนครราชสีมา</t>
  </si>
  <si>
    <t xml:space="preserve">     ปลัดองค์การบริหารส่วนตำบลเมืองนาท</t>
  </si>
  <si>
    <t xml:space="preserve">    (นายบุญช่วย  ขอชมกลาง)</t>
  </si>
  <si>
    <t>ธ. กรุงไทย  -  ออมทรัพย์301-3-09120-7</t>
  </si>
  <si>
    <t>ธ. ธกส.     -  ออมทรัพย์ 291-2-49401-5</t>
  </si>
  <si>
    <t xml:space="preserve">               -  ออมทรัพย์ 291-2-56813-5</t>
  </si>
  <si>
    <t>ธ. กรุงไทย  -  กระแสรายวัน 301-6-09587-4</t>
  </si>
  <si>
    <t>เงินค้ำประกันสัญญา</t>
  </si>
  <si>
    <t>ลำดับ</t>
  </si>
  <si>
    <t>โครงการ</t>
  </si>
  <si>
    <t>ผู้รับจ้าง</t>
  </si>
  <si>
    <t>โครงการก่อสร้างถนน คสล. บ้านหนองโพธิ์ หมู่ 4</t>
  </si>
  <si>
    <t>เมืองคงสมจิตก่อสร้าง</t>
  </si>
  <si>
    <t>โครงการก่อสร้างถนน คสล.บ้านหนองไร่ หมู่ 7</t>
  </si>
  <si>
    <t>หจก.ปรุใหญ่ กรุ๊ป</t>
  </si>
  <si>
    <t>โครงการก่อสร้างถนน คสล.บ้านโนนพฤกษ์ หมู่ที่8</t>
  </si>
  <si>
    <t>หจก.ไทยวุธ ซีวิล ดีไซน์</t>
  </si>
  <si>
    <t>โครงการก่อสร้างถนน คสล.บ้านหนองโพธิ์ หมู่ที่ 4</t>
  </si>
  <si>
    <t>โครงการก่อสร้างถนน คสล. บ้านหนองไร่ หมู่ที่ 7</t>
  </si>
  <si>
    <t>โครงการก่อสร้างถนน คสล. บ้านโนนข้าวตาก หมู่ที่ 9</t>
  </si>
  <si>
    <t>โครงการก่อสร้างถนน คสล. บ้านเหนือ หมู่ที่ 1</t>
  </si>
  <si>
    <t>นายตอง  มุ่งหวังกลาง</t>
  </si>
  <si>
    <t>โครงการซ่อมแซมท่อระบายน้ำ บ้านเมืองนาท หมู่ที่ 2</t>
  </si>
  <si>
    <t>โครงการซ่อมแซมท่อระบายน้ำ บ้านทัพรั้ง หมู่ที่ 3</t>
  </si>
  <si>
    <t>โครงการก่อสร้างท่อลอด บ้านห้วย หมู่ที่ 5</t>
  </si>
  <si>
    <t>โครงการก่อสร้างลานเอนกประสงค์ บ้านเสมา หมู่ที่ 6</t>
  </si>
  <si>
    <t>นายวิเชียร  นิยมชื่น</t>
  </si>
  <si>
    <t>โครงการก่อสร้างปิดฝาย บ้านห้วย หมู่ที่ 5</t>
  </si>
  <si>
    <t>นางกำไล    ไวการ</t>
  </si>
  <si>
    <t>นางกำไล      ไวการ</t>
  </si>
  <si>
    <t>โครงการปรับปรุงซ่อมแซมถนนลูกรังภายในหมู่บ้าน บ้านโนนข้าวตาก หมู่ที่ 9</t>
  </si>
  <si>
    <t>โครงการขุดลอกลำห้วยประปาหมู่บ้าน หมู่ที่ 10</t>
  </si>
  <si>
    <t>หจก.มาลีทวีโชค</t>
  </si>
  <si>
    <t>โครงการก่อสร้างรางระบายน้ำ คสล. หมุ่ที่ 1</t>
  </si>
  <si>
    <t>โครงการขุดเจาะบ่อบาดดาล หมุ่ที่ 5</t>
  </si>
  <si>
    <t>นางนกเล็ก  ทองสุขนอก</t>
  </si>
  <si>
    <t>โครงการขุดเจาะบ่อบาดดาล หมุ่ที่ 10</t>
  </si>
  <si>
    <t>โครงการก่อสร้างถนนคสล. บ้านเหนือ หมุ่ที่ 1</t>
  </si>
  <si>
    <t>โครงการก่อสร้างโรงจอดรถ อบต.</t>
  </si>
  <si>
    <t>เมือ งคงสมจิตก่อสร้าง</t>
  </si>
  <si>
    <t xml:space="preserve">โครงการก่อสร้างคสล.บ้านทัพรั้ง หมู่3 </t>
  </si>
  <si>
    <t xml:space="preserve">                   </t>
  </si>
  <si>
    <t>หจก.ฏิมากรุ๊ป</t>
  </si>
  <si>
    <t>โครงการก่อสร้างถังกรองประปา หมู่ 10</t>
  </si>
  <si>
    <t>หจก. ราชสีมารุ่งเสถียร</t>
  </si>
  <si>
    <t>โครงการขุดลอกคลอง ม.5</t>
  </si>
  <si>
    <t>หจก.พรรุจี</t>
  </si>
  <si>
    <t>โครงการถก่อสร้างถนนหินคลุก  ม.2</t>
  </si>
  <si>
    <t>หจก.ส.วรรณรัตน์ การโยธา</t>
  </si>
  <si>
    <t>โครงการก่อสร้างถนนหินคลุก  ม.6</t>
  </si>
  <si>
    <t>โครงการก่อสร้างถนนคอนกรีตเสริมเหล็ก  บ้านหนองโพธิ์ ม.4</t>
  </si>
  <si>
    <t>หจก.นับสิบการโยธา</t>
  </si>
  <si>
    <t>โครงการก่อสร้างถนนคอนกรีตเริมเหล็ก บ้านหนองไร่ หมู๋ที่7</t>
  </si>
  <si>
    <t>โครงการก่อสร้างถนนคอนกรีตเสริมเหล็กบ้านโนนพฤกษ์ หมู่ที่ 8</t>
  </si>
  <si>
    <t>โครงการก่อสร้างถนนคอนกรีตเสริมเหล็กบ้านโนนข้าวตาก หมู่ที่ 9</t>
  </si>
  <si>
    <t>ยอดตามงบ</t>
  </si>
  <si>
    <t>คงเหลือ</t>
  </si>
  <si>
    <t>13.  เงินรับฝาก- ประกันสังคม</t>
  </si>
  <si>
    <t>13.  เงินรับฝาก- ค่าประกันสังคม</t>
  </si>
  <si>
    <t>ลูกหนี้เงินทุนโครงการเศรษฐกิจชุมขน</t>
  </si>
  <si>
    <t>(นายสยาม    สังข์ศร)</t>
  </si>
  <si>
    <t>หมายเหตุ   3</t>
  </si>
  <si>
    <t>หมายเหตุ    2</t>
  </si>
  <si>
    <t>ค่าจ้างชั่วคราว -  ประกันสังคม</t>
  </si>
  <si>
    <t>ค่าจ้างชั่วคราว -  ครูผู้ดูแลเด็ก</t>
  </si>
  <si>
    <t xml:space="preserve">     ส่งเสริมศักยภาพการศึกษา</t>
  </si>
  <si>
    <t>ลูกหนี้เงินยืม</t>
  </si>
  <si>
    <t>รายจ่ายลัดส่งใบสำคัญ</t>
  </si>
  <si>
    <t>รวมรายจ่างค้างจ่าย</t>
  </si>
  <si>
    <t>รานจ่ายค้างจ่าย</t>
  </si>
  <si>
    <t>ประกันสังคม</t>
  </si>
  <si>
    <t>บัญชีเงินรายจ่ายค้างจ่าย ณ วันที่  1  -     31  มกราคม    2559</t>
  </si>
  <si>
    <t>บัญชีเงินรายจ่ายค้างจ่าย ณ วันที่   1 ตุลาคม  2558  -  31 มกราคม    2559</t>
  </si>
  <si>
    <t>เงินรับฝาก  ณ วันที่  1  -    31 มกราคม    2559</t>
  </si>
  <si>
    <t>เงินรับฝาก  ณ วันที่   1 ตุลาคม  2558  - 31  มกราคม    2559</t>
  </si>
  <si>
    <t xml:space="preserve"> ประกอบงบทดลอง   ณ  31 มกราคม 2559</t>
  </si>
  <si>
    <t xml:space="preserve"> ประกอบงบทดลอง   ณ 31  มกราคม 2559</t>
  </si>
  <si>
    <t>ณ   วันที่  31  มกราคม  2558</t>
  </si>
  <si>
    <t>(6) ค่าสมัครสามาชิกห้องสมุด</t>
  </si>
  <si>
    <t>ประจำเดือน  มกราคม  2559</t>
  </si>
  <si>
    <t>เงินเดือน  (ฝ่ายการเมือง)</t>
  </si>
  <si>
    <t>เงินเดือน  (ฝ่ายประจำ)</t>
  </si>
  <si>
    <t>ณ วันที่  31  มกราคม  2559</t>
  </si>
  <si>
    <t>รายละเอียดแนบ หมายเหตุ 2 เงินรับฝาก</t>
  </si>
  <si>
    <t>(22) ค่าใบอนุญาตรับทำการเก็บ ขน หรือกำจัด สิ่งปฏิกูลหรือมูลฝอย</t>
  </si>
  <si>
    <t>2.  เงินประกันสัญญา  (ตามเอกสารแนบ)</t>
  </si>
  <si>
    <t xml:space="preserve">                                    ประจำเดือนมกราคม    พ.ศ.  2559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</si>
</sst>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0000"/>
    <numFmt numFmtId="204" formatCode="_-* #,##0.0_-;\-* #,##0.0_-;_-* &quot;-&quot;??_-;_-@_-"/>
    <numFmt numFmtId="205" formatCode="_-* #,##0_-;\-* #,##0_-;_-* &quot;-&quot;??_-;_-@_-"/>
    <numFmt numFmtId="206" formatCode="000"/>
    <numFmt numFmtId="207" formatCode="#,##0.0"/>
    <numFmt numFmtId="208" formatCode="00"/>
    <numFmt numFmtId="209" formatCode="#,##0.00_ ;\-#,##0.00\ "/>
    <numFmt numFmtId="210" formatCode="0.00000"/>
    <numFmt numFmtId="211" formatCode="0.0000"/>
    <numFmt numFmtId="212" formatCode="0.000"/>
    <numFmt numFmtId="213" formatCode="0.0"/>
    <numFmt numFmtId="214" formatCode="_-* #,##0.000_-;\-* #,##0.000_-;_-* &quot;-&quot;??_-;_-@_-"/>
    <numFmt numFmtId="215" formatCode="_-* #,##0.0000_-;\-* #,##0.0000_-;_-* &quot;-&quot;??_-;_-@_-"/>
    <numFmt numFmtId="216" formatCode="\8\5\2\4\0\0.\ๆ\ๆ"/>
    <numFmt numFmtId="217" formatCode="\8\5\2\4\0\0"/>
    <numFmt numFmtId="218" formatCode="\0\1\0\0"/>
    <numFmt numFmtId="219" formatCode="[$-41E]d\ mmmm\ yyyy"/>
    <numFmt numFmtId="220" formatCode="\t#"/>
    <numFmt numFmtId="221" formatCode="\T\0\1\0\0"/>
    <numFmt numFmtId="222" formatCode="\t\0\1\0\1"/>
    <numFmt numFmtId="223" formatCode="\t\t\00"/>
    <numFmt numFmtId="224" formatCode="\t0#,##0"/>
    <numFmt numFmtId="225" formatCode="\0\t0"/>
    <numFmt numFmtId="226" formatCode="0000000"/>
  </numFmts>
  <fonts count="60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8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  <font>
      <b/>
      <sz val="12"/>
      <name val="AngsanaUPC"/>
      <family val="1"/>
    </font>
    <font>
      <sz val="8"/>
      <name val="Cordia New"/>
      <family val="2"/>
    </font>
    <font>
      <sz val="15"/>
      <name val="AngsanaUPC"/>
      <family val="1"/>
    </font>
    <font>
      <sz val="16"/>
      <name val="Angsana New"/>
      <family val="1"/>
    </font>
    <font>
      <u val="single"/>
      <sz val="16"/>
      <name val="AngsanaUPC"/>
      <family val="1"/>
    </font>
    <font>
      <u val="single"/>
      <sz val="14"/>
      <name val="AngsanaUPC"/>
      <family val="1"/>
    </font>
    <font>
      <b/>
      <sz val="14"/>
      <name val="Cordia New"/>
      <family val="2"/>
    </font>
    <font>
      <sz val="12"/>
      <name val="Cordia New"/>
      <family val="2"/>
    </font>
    <font>
      <sz val="14"/>
      <name val="Angsana New"/>
      <family val="1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4" fontId="1" fillId="0" borderId="13" xfId="33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05" fontId="1" fillId="0" borderId="13" xfId="33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3" fillId="0" borderId="0" xfId="33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3" fillId="0" borderId="0" xfId="33" applyFont="1" applyBorder="1" applyAlignment="1">
      <alignment/>
    </xf>
    <xf numFmtId="43" fontId="4" fillId="0" borderId="0" xfId="33" applyFont="1" applyAlignment="1">
      <alignment horizontal="center"/>
    </xf>
    <xf numFmtId="43" fontId="4" fillId="0" borderId="0" xfId="33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3" xfId="33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16" xfId="33" applyNumberFormat="1" applyFont="1" applyBorder="1" applyAlignment="1">
      <alignment/>
    </xf>
    <xf numFmtId="4" fontId="1" fillId="0" borderId="25" xfId="33" applyNumberFormat="1" applyFont="1" applyBorder="1" applyAlignment="1">
      <alignment/>
    </xf>
    <xf numFmtId="43" fontId="1" fillId="0" borderId="13" xfId="33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3" xfId="33" applyNumberFormat="1" applyFont="1" applyBorder="1" applyAlignment="1">
      <alignment/>
    </xf>
    <xf numFmtId="43" fontId="4" fillId="0" borderId="0" xfId="33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208" fontId="2" fillId="0" borderId="0" xfId="0" applyNumberFormat="1" applyFont="1" applyBorder="1" applyAlignment="1">
      <alignment/>
    </xf>
    <xf numFmtId="205" fontId="1" fillId="0" borderId="0" xfId="33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43" fontId="1" fillId="0" borderId="0" xfId="33" applyFont="1" applyBorder="1" applyAlignment="1">
      <alignment/>
    </xf>
    <xf numFmtId="43" fontId="4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/>
    </xf>
    <xf numFmtId="4" fontId="1" fillId="0" borderId="20" xfId="33" applyNumberFormat="1" applyFont="1" applyBorder="1" applyAlignment="1">
      <alignment/>
    </xf>
    <xf numFmtId="43" fontId="1" fillId="0" borderId="16" xfId="33" applyFont="1" applyBorder="1" applyAlignment="1">
      <alignment/>
    </xf>
    <xf numFmtId="43" fontId="4" fillId="0" borderId="0" xfId="33" applyFont="1" applyAlignment="1">
      <alignment/>
    </xf>
    <xf numFmtId="4" fontId="1" fillId="0" borderId="23" xfId="33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43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4" fontId="4" fillId="0" borderId="19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/>
    </xf>
    <xf numFmtId="2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4" fontId="4" fillId="0" borderId="3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43" fontId="4" fillId="0" borderId="15" xfId="33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1" fillId="0" borderId="12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0" xfId="33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4" xfId="33" applyNumberFormat="1" applyFont="1" applyBorder="1" applyAlignment="1">
      <alignment/>
    </xf>
    <xf numFmtId="43" fontId="1" fillId="0" borderId="13" xfId="33" applyFont="1" applyBorder="1" applyAlignment="1">
      <alignment/>
    </xf>
    <xf numFmtId="4" fontId="1" fillId="0" borderId="15" xfId="33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4" fontId="1" fillId="0" borderId="23" xfId="33" applyNumberFormat="1" applyFont="1" applyBorder="1" applyAlignment="1">
      <alignment/>
    </xf>
    <xf numFmtId="4" fontId="1" fillId="0" borderId="20" xfId="33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3" fontId="1" fillId="0" borderId="13" xfId="33" applyNumberFormat="1" applyFont="1" applyBorder="1" applyAlignment="1">
      <alignment/>
    </xf>
    <xf numFmtId="43" fontId="1" fillId="0" borderId="23" xfId="33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18" xfId="33" applyNumberFormat="1" applyFont="1" applyBorder="1" applyAlignment="1">
      <alignment/>
    </xf>
    <xf numFmtId="43" fontId="1" fillId="0" borderId="14" xfId="33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205" fontId="1" fillId="0" borderId="18" xfId="33" applyNumberFormat="1" applyFont="1" applyBorder="1" applyAlignment="1">
      <alignment/>
    </xf>
    <xf numFmtId="43" fontId="1" fillId="0" borderId="23" xfId="33" applyNumberFormat="1" applyFont="1" applyBorder="1" applyAlignment="1">
      <alignment/>
    </xf>
    <xf numFmtId="43" fontId="1" fillId="0" borderId="15" xfId="33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3" xfId="0" applyBorder="1" applyAlignment="1">
      <alignment/>
    </xf>
    <xf numFmtId="43" fontId="0" fillId="0" borderId="29" xfId="33" applyFont="1" applyBorder="1" applyAlignment="1">
      <alignment/>
    </xf>
    <xf numFmtId="43" fontId="0" fillId="0" borderId="30" xfId="33" applyFont="1" applyBorder="1" applyAlignment="1">
      <alignment/>
    </xf>
    <xf numFmtId="0" fontId="4" fillId="0" borderId="4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48" xfId="0" applyBorder="1" applyAlignment="1">
      <alignment/>
    </xf>
    <xf numFmtId="0" fontId="14" fillId="0" borderId="14" xfId="0" applyFont="1" applyBorder="1" applyAlignment="1">
      <alignment horizontal="center"/>
    </xf>
    <xf numFmtId="43" fontId="14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48" xfId="33" applyFont="1" applyBorder="1" applyAlignment="1">
      <alignment/>
    </xf>
    <xf numFmtId="43" fontId="0" fillId="0" borderId="30" xfId="33" applyFont="1" applyBorder="1" applyAlignment="1">
      <alignment/>
    </xf>
    <xf numFmtId="43" fontId="0" fillId="0" borderId="48" xfId="33" applyFont="1" applyBorder="1" applyAlignment="1">
      <alignment horizontal="right"/>
    </xf>
    <xf numFmtId="43" fontId="0" fillId="0" borderId="0" xfId="33" applyFont="1" applyAlignment="1">
      <alignment/>
    </xf>
    <xf numFmtId="0" fontId="14" fillId="0" borderId="0" xfId="0" applyFont="1" applyAlignment="1">
      <alignment horizontal="center"/>
    </xf>
    <xf numFmtId="43" fontId="0" fillId="0" borderId="15" xfId="33" applyFont="1" applyBorder="1" applyAlignment="1">
      <alignment horizontal="center"/>
    </xf>
    <xf numFmtId="43" fontId="0" fillId="0" borderId="34" xfId="33" applyFont="1" applyBorder="1" applyAlignment="1">
      <alignment horizontal="center"/>
    </xf>
    <xf numFmtId="43" fontId="0" fillId="0" borderId="15" xfId="33" applyFont="1" applyBorder="1" applyAlignment="1">
      <alignment horizontal="center" vertical="center" wrapText="1"/>
    </xf>
    <xf numFmtId="43" fontId="0" fillId="0" borderId="15" xfId="33" applyFont="1" applyBorder="1" applyAlignment="1">
      <alignment/>
    </xf>
    <xf numFmtId="43" fontId="0" fillId="0" borderId="43" xfId="33" applyFont="1" applyBorder="1" applyAlignment="1">
      <alignment/>
    </xf>
    <xf numFmtId="43" fontId="0" fillId="0" borderId="49" xfId="33" applyFont="1" applyBorder="1" applyAlignment="1">
      <alignment/>
    </xf>
    <xf numFmtId="43" fontId="0" fillId="0" borderId="45" xfId="33" applyFont="1" applyBorder="1" applyAlignment="1">
      <alignment/>
    </xf>
    <xf numFmtId="43" fontId="0" fillId="0" borderId="50" xfId="33" applyFont="1" applyBorder="1" applyAlignment="1">
      <alignment/>
    </xf>
    <xf numFmtId="0" fontId="0" fillId="0" borderId="14" xfId="0" applyBorder="1" applyAlignment="1">
      <alignment/>
    </xf>
    <xf numFmtId="43" fontId="0" fillId="0" borderId="14" xfId="33" applyFont="1" applyBorder="1" applyAlignment="1">
      <alignment/>
    </xf>
    <xf numFmtId="43" fontId="0" fillId="0" borderId="34" xfId="33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43" fontId="0" fillId="0" borderId="35" xfId="33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43" fontId="0" fillId="0" borderId="43" xfId="33" applyFont="1" applyBorder="1" applyAlignment="1">
      <alignment/>
    </xf>
    <xf numFmtId="43" fontId="0" fillId="0" borderId="51" xfId="33" applyFont="1" applyBorder="1" applyAlignment="1">
      <alignment/>
    </xf>
    <xf numFmtId="43" fontId="0" fillId="0" borderId="38" xfId="33" applyFont="1" applyBorder="1" applyAlignment="1">
      <alignment/>
    </xf>
    <xf numFmtId="43" fontId="0" fillId="0" borderId="52" xfId="33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2" fillId="0" borderId="0" xfId="33" applyFont="1" applyBorder="1" applyAlignment="1">
      <alignment/>
    </xf>
    <xf numFmtId="0" fontId="4" fillId="0" borderId="34" xfId="0" applyFont="1" applyBorder="1" applyAlignment="1">
      <alignment horizontal="left"/>
    </xf>
    <xf numFmtId="43" fontId="2" fillId="0" borderId="0" xfId="33" applyFont="1" applyAlignment="1">
      <alignment/>
    </xf>
    <xf numFmtId="0" fontId="0" fillId="0" borderId="0" xfId="0" applyFont="1" applyAlignment="1">
      <alignment/>
    </xf>
    <xf numFmtId="43" fontId="2" fillId="0" borderId="0" xfId="0" applyNumberFormat="1" applyFont="1" applyAlignment="1">
      <alignment/>
    </xf>
    <xf numFmtId="0" fontId="4" fillId="0" borderId="50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/>
    </xf>
    <xf numFmtId="4" fontId="4" fillId="0" borderId="48" xfId="0" applyNumberFormat="1" applyFont="1" applyBorder="1" applyAlignment="1">
      <alignment/>
    </xf>
    <xf numFmtId="0" fontId="4" fillId="0" borderId="35" xfId="0" applyFont="1" applyBorder="1" applyAlignment="1">
      <alignment horizontal="left"/>
    </xf>
    <xf numFmtId="0" fontId="0" fillId="0" borderId="48" xfId="0" applyFont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43" fontId="0" fillId="0" borderId="0" xfId="33" applyFont="1" applyAlignment="1">
      <alignment horizontal="center"/>
    </xf>
    <xf numFmtId="0" fontId="0" fillId="0" borderId="0" xfId="0" applyFont="1" applyAlignment="1">
      <alignment/>
    </xf>
    <xf numFmtId="43" fontId="0" fillId="0" borderId="0" xfId="33" applyFont="1" applyAlignment="1">
      <alignment/>
    </xf>
    <xf numFmtId="43" fontId="4" fillId="0" borderId="33" xfId="33" applyFont="1" applyBorder="1" applyAlignment="1">
      <alignment/>
    </xf>
    <xf numFmtId="43" fontId="4" fillId="0" borderId="13" xfId="33" applyFont="1" applyBorder="1" applyAlignment="1">
      <alignment/>
    </xf>
    <xf numFmtId="43" fontId="4" fillId="0" borderId="13" xfId="33" applyFont="1" applyBorder="1" applyAlignment="1">
      <alignment horizontal="right"/>
    </xf>
    <xf numFmtId="4" fontId="4" fillId="0" borderId="0" xfId="33" applyNumberFormat="1" applyFont="1" applyAlignment="1">
      <alignment horizontal="right"/>
    </xf>
    <xf numFmtId="4" fontId="4" fillId="0" borderId="0" xfId="33" applyNumberFormat="1" applyFont="1" applyBorder="1" applyAlignment="1">
      <alignment horizontal="right"/>
    </xf>
    <xf numFmtId="4" fontId="4" fillId="0" borderId="0" xfId="33" applyNumberFormat="1" applyFont="1" applyBorder="1" applyAlignment="1">
      <alignment/>
    </xf>
    <xf numFmtId="4" fontId="3" fillId="0" borderId="53" xfId="33" applyNumberFormat="1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0" xfId="33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3" xfId="33" applyNumberFormat="1" applyFont="1" applyBorder="1" applyAlignment="1">
      <alignment horizontal="right"/>
    </xf>
    <xf numFmtId="4" fontId="1" fillId="0" borderId="23" xfId="33" applyNumberFormat="1" applyFont="1" applyBorder="1" applyAlignment="1">
      <alignment horizontal="right"/>
    </xf>
    <xf numFmtId="4" fontId="1" fillId="0" borderId="20" xfId="33" applyNumberFormat="1" applyFont="1" applyBorder="1" applyAlignment="1">
      <alignment horizontal="right"/>
    </xf>
    <xf numFmtId="4" fontId="1" fillId="0" borderId="14" xfId="33" applyNumberFormat="1" applyFont="1" applyBorder="1" applyAlignment="1">
      <alignment horizontal="right"/>
    </xf>
    <xf numFmtId="4" fontId="1" fillId="0" borderId="15" xfId="33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2" fillId="0" borderId="30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3" fontId="2" fillId="0" borderId="29" xfId="33" applyFont="1" applyBorder="1" applyAlignment="1">
      <alignment horizontal="right"/>
    </xf>
    <xf numFmtId="43" fontId="2" fillId="0" borderId="30" xfId="33" applyFont="1" applyBorder="1" applyAlignment="1">
      <alignment horizontal="right"/>
    </xf>
    <xf numFmtId="43" fontId="2" fillId="0" borderId="30" xfId="33" applyFont="1" applyBorder="1" applyAlignment="1" quotePrefix="1">
      <alignment horizontal="right"/>
    </xf>
    <xf numFmtId="43" fontId="2" fillId="0" borderId="48" xfId="33" applyFont="1" applyBorder="1" applyAlignment="1">
      <alignment horizontal="right"/>
    </xf>
    <xf numFmtId="43" fontId="1" fillId="0" borderId="15" xfId="33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43" fontId="16" fillId="0" borderId="15" xfId="33" applyFont="1" applyBorder="1" applyAlignment="1">
      <alignment/>
    </xf>
    <xf numFmtId="0" fontId="4" fillId="0" borderId="48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/>
    </xf>
    <xf numFmtId="43" fontId="4" fillId="0" borderId="30" xfId="33" applyFont="1" applyBorder="1" applyAlignment="1">
      <alignment/>
    </xf>
    <xf numFmtId="0" fontId="4" fillId="0" borderId="33" xfId="0" applyFont="1" applyBorder="1" applyAlignment="1">
      <alignment/>
    </xf>
    <xf numFmtId="49" fontId="2" fillId="0" borderId="18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3" fontId="4" fillId="0" borderId="30" xfId="33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43" fontId="0" fillId="0" borderId="30" xfId="33" applyFont="1" applyBorder="1" applyAlignment="1">
      <alignment horizontal="center"/>
    </xf>
    <xf numFmtId="43" fontId="0" fillId="0" borderId="48" xfId="33" applyFont="1" applyBorder="1" applyAlignment="1">
      <alignment horizontal="center"/>
    </xf>
    <xf numFmtId="0" fontId="0" fillId="0" borderId="0" xfId="0" applyFont="1" applyAlignment="1">
      <alignment horizontal="center"/>
    </xf>
    <xf numFmtId="43" fontId="11" fillId="0" borderId="15" xfId="33" applyFont="1" applyBorder="1" applyAlignment="1">
      <alignment/>
    </xf>
    <xf numFmtId="43" fontId="1" fillId="0" borderId="0" xfId="0" applyNumberFormat="1" applyFont="1" applyAlignment="1">
      <alignment horizontal="center"/>
    </xf>
    <xf numFmtId="43" fontId="4" fillId="0" borderId="29" xfId="33" applyFont="1" applyBorder="1" applyAlignment="1">
      <alignment horizontal="right"/>
    </xf>
    <xf numFmtId="43" fontId="3" fillId="0" borderId="0" xfId="33" applyFont="1" applyBorder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3" fontId="17" fillId="0" borderId="0" xfId="33" applyFont="1" applyAlignment="1">
      <alignment/>
    </xf>
    <xf numFmtId="43" fontId="17" fillId="0" borderId="0" xfId="33" applyFont="1" applyFill="1" applyAlignment="1">
      <alignment/>
    </xf>
    <xf numFmtId="0" fontId="18" fillId="0" borderId="15" xfId="0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3" fontId="17" fillId="0" borderId="15" xfId="33" applyFont="1" applyBorder="1" applyAlignment="1">
      <alignment horizontal="center"/>
    </xf>
    <xf numFmtId="43" fontId="17" fillId="0" borderId="15" xfId="33" applyFont="1" applyFill="1" applyBorder="1" applyAlignment="1">
      <alignment horizontal="center"/>
    </xf>
    <xf numFmtId="0" fontId="18" fillId="0" borderId="43" xfId="0" applyFont="1" applyBorder="1" applyAlignment="1">
      <alignment/>
    </xf>
    <xf numFmtId="49" fontId="17" fillId="0" borderId="43" xfId="0" applyNumberFormat="1" applyFont="1" applyBorder="1" applyAlignment="1">
      <alignment horizontal="center"/>
    </xf>
    <xf numFmtId="43" fontId="17" fillId="0" borderId="43" xfId="33" applyFont="1" applyBorder="1" applyAlignment="1">
      <alignment/>
    </xf>
    <xf numFmtId="43" fontId="17" fillId="0" borderId="43" xfId="33" applyFont="1" applyFill="1" applyBorder="1" applyAlignment="1">
      <alignment/>
    </xf>
    <xf numFmtId="43" fontId="17" fillId="0" borderId="19" xfId="33" applyFont="1" applyBorder="1" applyAlignment="1">
      <alignment/>
    </xf>
    <xf numFmtId="0" fontId="17" fillId="0" borderId="30" xfId="0" applyFont="1" applyBorder="1" applyAlignment="1">
      <alignment/>
    </xf>
    <xf numFmtId="49" fontId="17" fillId="0" borderId="30" xfId="0" applyNumberFormat="1" applyFont="1" applyBorder="1" applyAlignment="1">
      <alignment horizontal="center"/>
    </xf>
    <xf numFmtId="43" fontId="17" fillId="0" borderId="30" xfId="33" applyFont="1" applyBorder="1" applyAlignment="1">
      <alignment/>
    </xf>
    <xf numFmtId="43" fontId="17" fillId="0" borderId="30" xfId="33" applyFont="1" applyFill="1" applyBorder="1" applyAlignment="1">
      <alignment/>
    </xf>
    <xf numFmtId="0" fontId="17" fillId="0" borderId="48" xfId="0" applyFont="1" applyBorder="1" applyAlignment="1">
      <alignment/>
    </xf>
    <xf numFmtId="49" fontId="17" fillId="0" borderId="48" xfId="0" applyNumberFormat="1" applyFont="1" applyBorder="1" applyAlignment="1">
      <alignment horizontal="center"/>
    </xf>
    <xf numFmtId="43" fontId="17" fillId="0" borderId="48" xfId="33" applyFont="1" applyBorder="1" applyAlignment="1">
      <alignment/>
    </xf>
    <xf numFmtId="43" fontId="17" fillId="0" borderId="48" xfId="33" applyFont="1" applyFill="1" applyBorder="1" applyAlignment="1">
      <alignment/>
    </xf>
    <xf numFmtId="43" fontId="17" fillId="0" borderId="23" xfId="33" applyFont="1" applyBorder="1" applyAlignment="1">
      <alignment/>
    </xf>
    <xf numFmtId="43" fontId="18" fillId="0" borderId="15" xfId="33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3" fontId="17" fillId="0" borderId="13" xfId="33" applyFont="1" applyBorder="1" applyAlignment="1">
      <alignment/>
    </xf>
    <xf numFmtId="43" fontId="17" fillId="0" borderId="13" xfId="33" applyFont="1" applyFill="1" applyBorder="1" applyAlignment="1">
      <alignment/>
    </xf>
    <xf numFmtId="0" fontId="17" fillId="0" borderId="15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43" fontId="17" fillId="0" borderId="33" xfId="33" applyFont="1" applyBorder="1" applyAlignment="1">
      <alignment/>
    </xf>
    <xf numFmtId="43" fontId="17" fillId="0" borderId="29" xfId="33" applyFont="1" applyBorder="1" applyAlignment="1">
      <alignment/>
    </xf>
    <xf numFmtId="43" fontId="17" fillId="0" borderId="30" xfId="33" applyFont="1" applyBorder="1" applyAlignment="1">
      <alignment horizontal="justify"/>
    </xf>
    <xf numFmtId="43" fontId="17" fillId="33" borderId="30" xfId="33" applyFont="1" applyFill="1" applyBorder="1" applyAlignment="1">
      <alignment/>
    </xf>
    <xf numFmtId="43" fontId="17" fillId="0" borderId="48" xfId="33" applyFont="1" applyBorder="1" applyAlignment="1">
      <alignment horizontal="justify"/>
    </xf>
    <xf numFmtId="43" fontId="18" fillId="0" borderId="14" xfId="33" applyFont="1" applyFill="1" applyBorder="1" applyAlignment="1">
      <alignment/>
    </xf>
    <xf numFmtId="0" fontId="17" fillId="0" borderId="30" xfId="0" applyFont="1" applyBorder="1" applyAlignment="1">
      <alignment horizontal="left" indent="6"/>
    </xf>
    <xf numFmtId="0" fontId="17" fillId="0" borderId="3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3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1" fillId="0" borderId="0" xfId="33" applyNumberFormat="1" applyFont="1" applyBorder="1" applyAlignment="1">
      <alignment/>
    </xf>
    <xf numFmtId="4" fontId="1" fillId="0" borderId="0" xfId="33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3" fontId="19" fillId="0" borderId="0" xfId="33" applyFont="1" applyAlignment="1">
      <alignment/>
    </xf>
    <xf numFmtId="0" fontId="21" fillId="0" borderId="15" xfId="0" applyFont="1" applyBorder="1" applyAlignment="1">
      <alignment horizontal="center" vertical="center"/>
    </xf>
    <xf numFmtId="43" fontId="21" fillId="0" borderId="15" xfId="33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15" fontId="19" fillId="0" borderId="15" xfId="0" applyNumberFormat="1" applyFont="1" applyBorder="1" applyAlignment="1">
      <alignment horizontal="center"/>
    </xf>
    <xf numFmtId="43" fontId="19" fillId="33" borderId="15" xfId="33" applyFont="1" applyFill="1" applyBorder="1" applyAlignment="1">
      <alignment/>
    </xf>
    <xf numFmtId="43" fontId="19" fillId="0" borderId="0" xfId="0" applyNumberFormat="1" applyFont="1" applyAlignment="1">
      <alignment/>
    </xf>
    <xf numFmtId="0" fontId="19" fillId="0" borderId="37" xfId="0" applyFont="1" applyBorder="1" applyAlignment="1">
      <alignment/>
    </xf>
    <xf numFmtId="0" fontId="23" fillId="0" borderId="37" xfId="0" applyFont="1" applyBorder="1" applyAlignment="1">
      <alignment/>
    </xf>
    <xf numFmtId="15" fontId="24" fillId="0" borderId="15" xfId="0" applyNumberFormat="1" applyFont="1" applyBorder="1" applyAlignment="1">
      <alignment horizontal="center"/>
    </xf>
    <xf numFmtId="0" fontId="22" fillId="0" borderId="37" xfId="0" applyFont="1" applyBorder="1" applyAlignment="1">
      <alignment/>
    </xf>
    <xf numFmtId="15" fontId="22" fillId="0" borderId="15" xfId="0" applyNumberFormat="1" applyFont="1" applyBorder="1" applyAlignment="1">
      <alignment horizontal="center"/>
    </xf>
    <xf numFmtId="43" fontId="21" fillId="0" borderId="15" xfId="33" applyFont="1" applyBorder="1" applyAlignment="1">
      <alignment/>
    </xf>
    <xf numFmtId="0" fontId="4" fillId="0" borderId="19" xfId="0" applyFont="1" applyBorder="1" applyAlignment="1">
      <alignment horizontal="left"/>
    </xf>
    <xf numFmtId="43" fontId="2" fillId="0" borderId="0" xfId="33" applyFont="1" applyAlignment="1">
      <alignment/>
    </xf>
    <xf numFmtId="43" fontId="3" fillId="0" borderId="15" xfId="33" applyFont="1" applyBorder="1" applyAlignment="1">
      <alignment horizontal="center"/>
    </xf>
    <xf numFmtId="43" fontId="4" fillId="0" borderId="19" xfId="33" applyFont="1" applyBorder="1" applyAlignment="1">
      <alignment horizontal="center"/>
    </xf>
    <xf numFmtId="43" fontId="4" fillId="0" borderId="19" xfId="33" applyFont="1" applyBorder="1" applyAlignment="1">
      <alignment horizontal="left"/>
    </xf>
    <xf numFmtId="43" fontId="4" fillId="0" borderId="23" xfId="33" applyFont="1" applyBorder="1" applyAlignment="1">
      <alignment/>
    </xf>
    <xf numFmtId="43" fontId="1" fillId="0" borderId="0" xfId="33" applyFont="1" applyBorder="1" applyAlignment="1">
      <alignment horizontal="center"/>
    </xf>
    <xf numFmtId="43" fontId="4" fillId="0" borderId="19" xfId="33" applyFont="1" applyBorder="1" applyAlignment="1">
      <alignment horizontal="right"/>
    </xf>
    <xf numFmtId="0" fontId="3" fillId="0" borderId="15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1" fillId="0" borderId="0" xfId="33" applyFont="1" applyAlignment="1">
      <alignment horizontal="right"/>
    </xf>
    <xf numFmtId="43" fontId="4" fillId="0" borderId="19" xfId="33" applyFont="1" applyBorder="1" applyAlignment="1">
      <alignment/>
    </xf>
    <xf numFmtId="43" fontId="4" fillId="0" borderId="14" xfId="33" applyFont="1" applyBorder="1" applyAlignment="1">
      <alignment/>
    </xf>
    <xf numFmtId="43" fontId="4" fillId="0" borderId="14" xfId="33" applyFont="1" applyBorder="1" applyAlignment="1">
      <alignment horizontal="right"/>
    </xf>
    <xf numFmtId="0" fontId="25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2" fillId="0" borderId="13" xfId="33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" fontId="2" fillId="0" borderId="23" xfId="33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2" fillId="0" borderId="13" xfId="33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3" xfId="33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3" fontId="17" fillId="0" borderId="0" xfId="0" applyNumberFormat="1" applyFont="1" applyAlignment="1">
      <alignment/>
    </xf>
    <xf numFmtId="43" fontId="4" fillId="0" borderId="0" xfId="33" applyFont="1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34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43" fontId="0" fillId="0" borderId="15" xfId="33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view="pageBreakPreview" zoomScaleSheetLayoutView="100" zoomScalePageLayoutView="0" workbookViewId="0" topLeftCell="A13">
      <selection activeCell="C8" sqref="C8"/>
    </sheetView>
  </sheetViews>
  <sheetFormatPr defaultColWidth="9.140625" defaultRowHeight="21.75"/>
  <cols>
    <col min="1" max="1" width="50.140625" style="70" customWidth="1"/>
    <col min="2" max="2" width="9.8515625" style="71" customWidth="1"/>
    <col min="3" max="3" width="21.28125" style="70" customWidth="1"/>
    <col min="4" max="4" width="22.7109375" style="70" customWidth="1"/>
    <col min="5" max="5" width="14.7109375" style="70" customWidth="1"/>
    <col min="6" max="6" width="5.421875" style="70" customWidth="1"/>
    <col min="7" max="16384" width="9.140625" style="70" customWidth="1"/>
  </cols>
  <sheetData>
    <row r="1" spans="1:5" s="1" customFormat="1" ht="23.25">
      <c r="A1" s="404" t="s">
        <v>506</v>
      </c>
      <c r="B1" s="404"/>
      <c r="C1" s="404"/>
      <c r="D1" s="404"/>
      <c r="E1" s="22"/>
    </row>
    <row r="2" spans="1:5" s="1" customFormat="1" ht="23.25">
      <c r="A2" s="404" t="s">
        <v>127</v>
      </c>
      <c r="B2" s="404"/>
      <c r="C2" s="404"/>
      <c r="D2" s="404"/>
      <c r="E2" s="22"/>
    </row>
    <row r="3" spans="1:41" s="1" customFormat="1" ht="23.25">
      <c r="A3" s="405" t="s">
        <v>583</v>
      </c>
      <c r="B3" s="405"/>
      <c r="C3" s="405"/>
      <c r="D3" s="405"/>
      <c r="E3" s="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1" customFormat="1" ht="20.25" customHeight="1">
      <c r="A4" s="406" t="s">
        <v>5</v>
      </c>
      <c r="B4" s="72" t="s">
        <v>6</v>
      </c>
      <c r="C4" s="408" t="s">
        <v>55</v>
      </c>
      <c r="D4" s="408" t="s">
        <v>56</v>
      </c>
      <c r="E4" s="2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1" customFormat="1" ht="21.75" customHeight="1">
      <c r="A5" s="407"/>
      <c r="B5" s="73" t="s">
        <v>8</v>
      </c>
      <c r="C5" s="409"/>
      <c r="D5" s="409"/>
      <c r="E5" s="2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1" customFormat="1" ht="23.25">
      <c r="A6" s="80" t="s">
        <v>57</v>
      </c>
      <c r="B6" s="277">
        <v>10</v>
      </c>
      <c r="C6" s="307"/>
      <c r="D6" s="28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5" s="1" customFormat="1" ht="23.25">
      <c r="A7" s="351" t="s">
        <v>81</v>
      </c>
      <c r="B7" s="277" t="s">
        <v>235</v>
      </c>
      <c r="C7" s="296"/>
      <c r="D7" s="282"/>
      <c r="E7" s="2"/>
    </row>
    <row r="8" spans="1:5" s="1" customFormat="1" ht="23.25">
      <c r="A8" s="352" t="s">
        <v>509</v>
      </c>
      <c r="B8" s="277"/>
      <c r="C8" s="296">
        <v>21403181.08</v>
      </c>
      <c r="D8" s="282"/>
      <c r="E8" s="2"/>
    </row>
    <row r="9" spans="1:5" s="1" customFormat="1" ht="23.25">
      <c r="A9" s="352" t="s">
        <v>510</v>
      </c>
      <c r="B9" s="277"/>
      <c r="C9" s="296">
        <v>6411254.31</v>
      </c>
      <c r="D9" s="282"/>
      <c r="E9" s="2"/>
    </row>
    <row r="10" spans="1:5" s="1" customFormat="1" ht="23.25">
      <c r="A10" s="352" t="s">
        <v>511</v>
      </c>
      <c r="B10" s="277"/>
      <c r="C10" s="296">
        <v>864182.58</v>
      </c>
      <c r="D10" s="282"/>
      <c r="E10" s="2"/>
    </row>
    <row r="11" spans="1:5" s="1" customFormat="1" ht="23.25">
      <c r="A11" s="53" t="s">
        <v>82</v>
      </c>
      <c r="B11" s="277">
        <v>21</v>
      </c>
      <c r="C11" s="296"/>
      <c r="D11" s="282"/>
      <c r="E11" s="2"/>
    </row>
    <row r="12" spans="1:5" s="1" customFormat="1" ht="23.25">
      <c r="A12" s="352" t="s">
        <v>512</v>
      </c>
      <c r="B12" s="277"/>
      <c r="C12" s="104"/>
      <c r="D12" s="282"/>
      <c r="E12" s="88"/>
    </row>
    <row r="13" spans="1:5" s="1" customFormat="1" ht="21">
      <c r="A13" s="78" t="s">
        <v>60</v>
      </c>
      <c r="B13" s="277">
        <v>90</v>
      </c>
      <c r="C13" s="282">
        <v>18200</v>
      </c>
      <c r="D13" s="282"/>
      <c r="E13" s="88"/>
    </row>
    <row r="14" spans="1:5" s="1" customFormat="1" ht="21">
      <c r="A14" s="79" t="s">
        <v>61</v>
      </c>
      <c r="B14" s="277">
        <v>90</v>
      </c>
      <c r="C14" s="282">
        <v>6400</v>
      </c>
      <c r="D14" s="282"/>
      <c r="E14" s="88"/>
    </row>
    <row r="15" spans="1:5" s="1" customFormat="1" ht="21">
      <c r="A15" s="79" t="s">
        <v>565</v>
      </c>
      <c r="B15" s="277"/>
      <c r="C15" s="282">
        <v>180000</v>
      </c>
      <c r="D15" s="282"/>
      <c r="E15" s="88"/>
    </row>
    <row r="16" spans="1:5" s="1" customFormat="1" ht="21">
      <c r="A16" s="79" t="s">
        <v>500</v>
      </c>
      <c r="B16" s="277">
        <v>821</v>
      </c>
      <c r="C16" s="282">
        <v>0</v>
      </c>
      <c r="D16" s="282"/>
      <c r="E16" s="88"/>
    </row>
    <row r="17" spans="1:5" s="1" customFormat="1" ht="21">
      <c r="A17" s="79" t="s">
        <v>28</v>
      </c>
      <c r="B17" s="277" t="s">
        <v>63</v>
      </c>
      <c r="C17" s="282">
        <v>334123</v>
      </c>
      <c r="D17" s="282"/>
      <c r="E17" s="88"/>
    </row>
    <row r="18" spans="1:5" s="1" customFormat="1" ht="21">
      <c r="A18" s="79" t="s">
        <v>586</v>
      </c>
      <c r="B18" s="277">
        <v>100</v>
      </c>
      <c r="C18" s="282">
        <f>SUM('งบรับ-จ่าย'!D54)</f>
        <v>857040</v>
      </c>
      <c r="D18" s="282"/>
      <c r="E18" s="2"/>
    </row>
    <row r="19" spans="1:5" s="1" customFormat="1" ht="21">
      <c r="A19" s="79" t="s">
        <v>587</v>
      </c>
      <c r="B19" s="277"/>
      <c r="C19" s="282">
        <f>SUM('งบรับ-จ่าย'!D55)</f>
        <v>1433223</v>
      </c>
      <c r="D19" s="282"/>
      <c r="E19" s="2"/>
    </row>
    <row r="20" spans="1:5" s="1" customFormat="1" ht="21">
      <c r="A20" s="79" t="s">
        <v>30</v>
      </c>
      <c r="B20" s="277">
        <v>120</v>
      </c>
      <c r="C20" s="282">
        <f>SUM('งบรับ-จ่าย'!D56)</f>
        <v>50590</v>
      </c>
      <c r="D20" s="282"/>
      <c r="E20" s="2"/>
    </row>
    <row r="21" spans="1:5" s="1" customFormat="1" ht="21">
      <c r="A21" s="79" t="s">
        <v>31</v>
      </c>
      <c r="B21" s="277">
        <v>130</v>
      </c>
      <c r="C21" s="283">
        <f>SUM('งบรับ-จ่าย'!D57:D57)</f>
        <v>358260</v>
      </c>
      <c r="D21" s="282"/>
      <c r="E21" s="2"/>
    </row>
    <row r="22" spans="1:5" s="1" customFormat="1" ht="21">
      <c r="A22" s="79" t="s">
        <v>32</v>
      </c>
      <c r="B22" s="277">
        <v>200</v>
      </c>
      <c r="C22" s="282">
        <f>SUM('งบรับ-จ่าย'!D58:D58)</f>
        <v>64318.25</v>
      </c>
      <c r="D22" s="282"/>
      <c r="E22" s="2"/>
    </row>
    <row r="23" spans="1:5" s="1" customFormat="1" ht="21">
      <c r="A23" s="79" t="s">
        <v>33</v>
      </c>
      <c r="B23" s="277">
        <v>250</v>
      </c>
      <c r="C23" s="282">
        <f>SUM('งบรับ-จ่าย'!D59:D59)</f>
        <v>548057.4</v>
      </c>
      <c r="D23" s="282"/>
      <c r="E23" s="2"/>
    </row>
    <row r="24" spans="1:5" s="1" customFormat="1" ht="21">
      <c r="A24" s="79" t="s">
        <v>34</v>
      </c>
      <c r="B24" s="277">
        <v>270</v>
      </c>
      <c r="C24" s="282">
        <f>SUM('งบรับ-จ่าย'!D60:D60)</f>
        <v>74692</v>
      </c>
      <c r="D24" s="282"/>
      <c r="E24" s="2"/>
    </row>
    <row r="25" spans="1:5" s="1" customFormat="1" ht="21">
      <c r="A25" s="79" t="s">
        <v>36</v>
      </c>
      <c r="B25" s="277">
        <v>300</v>
      </c>
      <c r="C25" s="282">
        <f>SUM('งบรับ-จ่าย'!D61:D61)</f>
        <v>67712.84</v>
      </c>
      <c r="D25" s="282"/>
      <c r="E25" s="2"/>
    </row>
    <row r="26" spans="1:5" s="1" customFormat="1" ht="21">
      <c r="A26" s="79" t="s">
        <v>24</v>
      </c>
      <c r="B26" s="277">
        <v>400</v>
      </c>
      <c r="C26" s="282">
        <f>SUM('งบรับ-จ่าย'!D62:D62)</f>
        <v>615000</v>
      </c>
      <c r="D26" s="282"/>
      <c r="E26" s="2"/>
    </row>
    <row r="27" spans="1:5" s="1" customFormat="1" ht="21">
      <c r="A27" s="79" t="s">
        <v>37</v>
      </c>
      <c r="B27" s="277">
        <v>450</v>
      </c>
      <c r="C27" s="282">
        <f>SUM('งบรับ-จ่าย'!D64:D64)</f>
        <v>0</v>
      </c>
      <c r="D27" s="282"/>
      <c r="E27" s="2"/>
    </row>
    <row r="28" spans="1:5" s="1" customFormat="1" ht="21">
      <c r="A28" s="79" t="s">
        <v>40</v>
      </c>
      <c r="B28" s="277">
        <v>500</v>
      </c>
      <c r="C28" s="282">
        <f>SUM('งบรับ-จ่าย'!D65)</f>
        <v>0</v>
      </c>
      <c r="D28" s="282"/>
      <c r="E28" s="2"/>
    </row>
    <row r="29" spans="1:5" s="1" customFormat="1" ht="21">
      <c r="A29" s="79" t="s">
        <v>148</v>
      </c>
      <c r="B29" s="277"/>
      <c r="C29" s="282">
        <v>0</v>
      </c>
      <c r="D29" s="282"/>
      <c r="E29" s="2"/>
    </row>
    <row r="30" spans="1:5" s="1" customFormat="1" ht="21">
      <c r="A30" s="79" t="s">
        <v>28</v>
      </c>
      <c r="B30" s="277" t="s">
        <v>63</v>
      </c>
      <c r="C30" s="282">
        <v>0</v>
      </c>
      <c r="D30" s="282"/>
      <c r="E30" s="2"/>
    </row>
    <row r="31" spans="1:5" s="1" customFormat="1" ht="21">
      <c r="A31" s="79" t="s">
        <v>469</v>
      </c>
      <c r="B31" s="277"/>
      <c r="C31" s="282">
        <f>SUM('งบรับ-จ่าย'!D68:D71)</f>
        <v>2220300</v>
      </c>
      <c r="D31" s="282"/>
      <c r="E31" s="2"/>
    </row>
    <row r="32" spans="1:5" s="1" customFormat="1" ht="21">
      <c r="A32" s="79" t="s">
        <v>136</v>
      </c>
      <c r="B32" s="277">
        <v>821</v>
      </c>
      <c r="C32" s="282"/>
      <c r="D32" s="282">
        <f>SUM('งบรับ-จ่าย'!D25)</f>
        <v>11817352.09</v>
      </c>
      <c r="E32" s="2"/>
    </row>
    <row r="33" spans="1:5" s="1" customFormat="1" ht="21">
      <c r="A33" s="79" t="s">
        <v>69</v>
      </c>
      <c r="B33" s="277">
        <v>900</v>
      </c>
      <c r="C33" s="282"/>
      <c r="D33" s="282">
        <f>SUM('หมายเหต1.1'!D20)</f>
        <v>1396146.5</v>
      </c>
      <c r="E33" s="2"/>
    </row>
    <row r="34" spans="1:5" s="1" customFormat="1" ht="21">
      <c r="A34" s="79" t="s">
        <v>492</v>
      </c>
      <c r="B34" s="277">
        <v>600</v>
      </c>
      <c r="C34" s="282"/>
      <c r="D34" s="282">
        <f>SUM('หมายเหต1.1'!D34)</f>
        <v>354123</v>
      </c>
      <c r="E34" s="2"/>
    </row>
    <row r="35" spans="1:5" s="1" customFormat="1" ht="21">
      <c r="A35" s="79" t="s">
        <v>115</v>
      </c>
      <c r="B35" s="277">
        <v>602</v>
      </c>
      <c r="C35" s="282"/>
      <c r="D35" s="282">
        <v>0</v>
      </c>
      <c r="E35" s="2"/>
    </row>
    <row r="36" spans="1:5" s="1" customFormat="1" ht="21">
      <c r="A36" s="79" t="s">
        <v>100</v>
      </c>
      <c r="B36" s="277">
        <v>601</v>
      </c>
      <c r="C36" s="282"/>
      <c r="D36" s="282">
        <v>0</v>
      </c>
      <c r="E36" s="2"/>
    </row>
    <row r="37" spans="1:5" s="1" customFormat="1" ht="21">
      <c r="A37" s="78" t="s">
        <v>42</v>
      </c>
      <c r="B37" s="278">
        <v>700</v>
      </c>
      <c r="C37" s="282"/>
      <c r="D37" s="284">
        <v>12820675.05</v>
      </c>
      <c r="E37" s="74"/>
    </row>
    <row r="38" spans="1:5" s="1" customFormat="1" ht="21">
      <c r="A38" s="4" t="s">
        <v>91</v>
      </c>
      <c r="B38" s="279">
        <v>703</v>
      </c>
      <c r="C38" s="282"/>
      <c r="D38" s="284">
        <v>9118237.82</v>
      </c>
      <c r="E38" s="2"/>
    </row>
    <row r="39" spans="2:5" s="13" customFormat="1" ht="24.75" customHeight="1">
      <c r="B39" s="280"/>
      <c r="C39" s="285">
        <f>SUM(C6:C38)</f>
        <v>35506534.45999999</v>
      </c>
      <c r="D39" s="285">
        <f>SUM(D32:D38)</f>
        <v>35506534.46</v>
      </c>
      <c r="E39" s="75"/>
    </row>
    <row r="40" spans="1:6" s="1" customFormat="1" ht="12" customHeight="1">
      <c r="A40" s="13"/>
      <c r="B40" s="77"/>
      <c r="C40" s="152"/>
      <c r="D40" s="93"/>
      <c r="E40" s="2"/>
      <c r="F40" s="2"/>
    </row>
    <row r="41" spans="2:4" s="1" customFormat="1" ht="21">
      <c r="B41" s="13" t="s">
        <v>142</v>
      </c>
      <c r="D41" s="306"/>
    </row>
    <row r="42" spans="2:5" s="1" customFormat="1" ht="22.5" customHeight="1">
      <c r="B42" s="13"/>
      <c r="C42" s="76"/>
      <c r="D42" s="97"/>
      <c r="E42" s="95"/>
    </row>
    <row r="43" spans="1:5" s="1" customFormat="1" ht="21">
      <c r="A43" s="18" t="s">
        <v>140</v>
      </c>
      <c r="B43" s="18"/>
      <c r="C43" s="76"/>
      <c r="E43" s="76"/>
    </row>
    <row r="44" spans="1:5" s="1" customFormat="1" ht="21">
      <c r="A44" s="1" t="s">
        <v>143</v>
      </c>
      <c r="B44" s="403" t="s">
        <v>566</v>
      </c>
      <c r="C44" s="403"/>
      <c r="E44" s="76"/>
    </row>
    <row r="45" spans="2:5" s="1" customFormat="1" ht="21">
      <c r="B45" s="18" t="s">
        <v>507</v>
      </c>
      <c r="D45" s="19" t="s">
        <v>268</v>
      </c>
      <c r="E45" s="76"/>
    </row>
    <row r="46" spans="2:5" s="1" customFormat="1" ht="21">
      <c r="B46" s="13"/>
      <c r="C46" s="76"/>
      <c r="D46" s="19" t="s">
        <v>269</v>
      </c>
      <c r="E46" s="76"/>
    </row>
    <row r="47" spans="2:5" s="1" customFormat="1" ht="21">
      <c r="B47" s="13"/>
      <c r="C47" s="76"/>
      <c r="E47" s="76"/>
    </row>
    <row r="48" spans="2:5" s="1" customFormat="1" ht="21">
      <c r="B48" s="18"/>
      <c r="C48" s="76"/>
      <c r="E48" s="76"/>
    </row>
    <row r="49" spans="2:5" s="1" customFormat="1" ht="21">
      <c r="B49" s="403"/>
      <c r="C49" s="403"/>
      <c r="D49" s="1" t="s">
        <v>508</v>
      </c>
      <c r="E49" s="76"/>
    </row>
    <row r="50" spans="1:4" s="1" customFormat="1" ht="21">
      <c r="A50" s="18"/>
      <c r="B50" s="18"/>
      <c r="D50" s="76" t="s">
        <v>149</v>
      </c>
    </row>
    <row r="51" s="1" customFormat="1" ht="18" customHeight="1">
      <c r="B51" s="18"/>
    </row>
    <row r="52" s="1" customFormat="1" ht="21">
      <c r="B52" s="18"/>
    </row>
    <row r="53" s="1" customFormat="1" ht="21">
      <c r="B53" s="18"/>
    </row>
  </sheetData>
  <sheetProtection/>
  <mergeCells count="8">
    <mergeCell ref="B49:C49"/>
    <mergeCell ref="A1:D1"/>
    <mergeCell ref="A2:D2"/>
    <mergeCell ref="A3:D3"/>
    <mergeCell ref="A4:A5"/>
    <mergeCell ref="C4:C5"/>
    <mergeCell ref="D4:D5"/>
    <mergeCell ref="B44:C44"/>
  </mergeCells>
  <printOptions/>
  <pageMargins left="1.062992125984252" right="0.5511811023622047" top="0" bottom="0" header="0.11811023622047245" footer="0.1181102362204724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8"/>
  <sheetViews>
    <sheetView zoomScalePageLayoutView="0" workbookViewId="0" topLeftCell="A236">
      <selection activeCell="I257" sqref="I257"/>
    </sheetView>
  </sheetViews>
  <sheetFormatPr defaultColWidth="9.140625" defaultRowHeight="21.75"/>
  <cols>
    <col min="1" max="1" width="9.7109375" style="1" customWidth="1"/>
    <col min="2" max="2" width="31.57421875" style="1" customWidth="1"/>
    <col min="3" max="3" width="12.140625" style="1" customWidth="1"/>
    <col min="4" max="4" width="14.8515625" style="1" customWidth="1"/>
    <col min="5" max="5" width="17.00390625" style="76" customWidth="1"/>
    <col min="6" max="6" width="16.7109375" style="1" customWidth="1"/>
    <col min="7" max="7" width="10.7109375" style="1" customWidth="1"/>
    <col min="8" max="16384" width="9.140625" style="1" customWidth="1"/>
  </cols>
  <sheetData>
    <row r="1" spans="1:5" s="3" customFormat="1" ht="23.25">
      <c r="A1" s="6" t="s">
        <v>222</v>
      </c>
      <c r="B1" s="6"/>
      <c r="E1" s="3" t="s">
        <v>204</v>
      </c>
    </row>
    <row r="2" s="3" customFormat="1" ht="23.25">
      <c r="E2" s="3" t="s">
        <v>298</v>
      </c>
    </row>
    <row r="3" spans="1:6" s="3" customFormat="1" ht="23.25">
      <c r="A3" s="404" t="s">
        <v>200</v>
      </c>
      <c r="B3" s="404"/>
      <c r="C3" s="404"/>
      <c r="D3" s="404"/>
      <c r="E3" s="404"/>
      <c r="F3" s="404"/>
    </row>
    <row r="4" spans="1:8" s="3" customFormat="1" ht="28.5" customHeight="1">
      <c r="A4" s="3" t="s">
        <v>165</v>
      </c>
      <c r="E4" s="66"/>
      <c r="H4" s="89"/>
    </row>
    <row r="5" spans="1:6" s="3" customFormat="1" ht="30" customHeight="1">
      <c r="A5" s="432" t="s">
        <v>5</v>
      </c>
      <c r="B5" s="433"/>
      <c r="C5" s="98" t="s">
        <v>54</v>
      </c>
      <c r="D5" s="98" t="s">
        <v>152</v>
      </c>
      <c r="E5" s="98" t="s">
        <v>55</v>
      </c>
      <c r="F5" s="98" t="s">
        <v>56</v>
      </c>
    </row>
    <row r="6" spans="1:6" s="3" customFormat="1" ht="23.25">
      <c r="A6" s="208"/>
      <c r="B6" s="135"/>
      <c r="C6" s="83"/>
      <c r="D6" s="83"/>
      <c r="E6" s="132"/>
      <c r="F6" s="133"/>
    </row>
    <row r="7" spans="1:6" s="3" customFormat="1" ht="23.25">
      <c r="A7" s="243" t="s">
        <v>250</v>
      </c>
      <c r="B7" s="8"/>
      <c r="C7" s="83" t="s">
        <v>137</v>
      </c>
      <c r="D7" s="83"/>
      <c r="E7" s="118">
        <v>250500</v>
      </c>
      <c r="F7" s="132"/>
    </row>
    <row r="8" spans="1:6" s="3" customFormat="1" ht="23.25">
      <c r="A8" s="243" t="s">
        <v>251</v>
      </c>
      <c r="B8" s="8"/>
      <c r="C8" s="83"/>
      <c r="D8" s="83"/>
      <c r="E8" s="118">
        <v>29000</v>
      </c>
      <c r="F8" s="132"/>
    </row>
    <row r="9" spans="1:6" s="3" customFormat="1" ht="23.25">
      <c r="A9" s="243" t="s">
        <v>28</v>
      </c>
      <c r="B9" s="8"/>
      <c r="C9" s="83" t="s">
        <v>93</v>
      </c>
      <c r="D9" s="83"/>
      <c r="E9" s="118">
        <v>1500</v>
      </c>
      <c r="F9" s="132"/>
    </row>
    <row r="10" spans="1:6" s="3" customFormat="1" ht="23.25">
      <c r="A10" s="208" t="s">
        <v>33</v>
      </c>
      <c r="B10" s="8"/>
      <c r="C10" s="83"/>
      <c r="D10" s="83"/>
      <c r="E10" s="118">
        <v>5500</v>
      </c>
      <c r="F10" s="132"/>
    </row>
    <row r="11" spans="1:6" s="3" customFormat="1" ht="23.25">
      <c r="A11" s="136"/>
      <c r="B11" s="130"/>
      <c r="C11" s="98"/>
      <c r="D11" s="98"/>
      <c r="E11" s="98"/>
      <c r="F11" s="98"/>
    </row>
    <row r="12" spans="1:6" s="3" customFormat="1" ht="23.25">
      <c r="A12" s="136"/>
      <c r="B12" s="252" t="s">
        <v>254</v>
      </c>
      <c r="C12" s="254" t="s">
        <v>47</v>
      </c>
      <c r="D12" s="98"/>
      <c r="E12" s="98"/>
      <c r="F12" s="116"/>
    </row>
    <row r="13" spans="1:6" s="3" customFormat="1" ht="23.25">
      <c r="A13" s="208"/>
      <c r="B13" s="252" t="s">
        <v>275</v>
      </c>
      <c r="C13" s="98"/>
      <c r="D13" s="83"/>
      <c r="E13" s="132"/>
      <c r="F13" s="138">
        <f>SUM(E7:E9)</f>
        <v>281000</v>
      </c>
    </row>
    <row r="14" spans="1:6" s="3" customFormat="1" ht="23.25">
      <c r="A14" s="134"/>
      <c r="B14" s="252" t="s">
        <v>275</v>
      </c>
      <c r="C14" s="83"/>
      <c r="D14" s="83"/>
      <c r="E14" s="132"/>
      <c r="F14" s="118">
        <v>5500</v>
      </c>
    </row>
    <row r="15" spans="1:6" s="3" customFormat="1" ht="23.25">
      <c r="A15" s="134"/>
      <c r="B15" s="252"/>
      <c r="C15" s="83"/>
      <c r="D15" s="83"/>
      <c r="E15" s="132"/>
      <c r="F15" s="116"/>
    </row>
    <row r="16" spans="1:6" s="3" customFormat="1" ht="23.25">
      <c r="A16" s="134"/>
      <c r="B16" s="135"/>
      <c r="C16" s="83"/>
      <c r="D16" s="83"/>
      <c r="E16" s="132"/>
      <c r="F16" s="116"/>
    </row>
    <row r="17" spans="1:6" s="3" customFormat="1" ht="23.25">
      <c r="A17" s="134"/>
      <c r="B17" s="135"/>
      <c r="C17" s="83"/>
      <c r="D17" s="83"/>
      <c r="E17" s="132"/>
      <c r="F17" s="116"/>
    </row>
    <row r="18" spans="1:6" s="3" customFormat="1" ht="23.25">
      <c r="A18" s="134"/>
      <c r="B18" s="135"/>
      <c r="C18" s="83"/>
      <c r="D18" s="83"/>
      <c r="E18" s="132"/>
      <c r="F18" s="138"/>
    </row>
    <row r="19" spans="1:6" s="3" customFormat="1" ht="23.25">
      <c r="A19" s="134"/>
      <c r="B19" s="135"/>
      <c r="C19" s="117"/>
      <c r="D19" s="117"/>
      <c r="E19" s="139"/>
      <c r="F19" s="133"/>
    </row>
    <row r="20" spans="1:6" s="3" customFormat="1" ht="23.25">
      <c r="A20" s="134"/>
      <c r="B20" s="135"/>
      <c r="C20" s="117"/>
      <c r="D20" s="117"/>
      <c r="E20" s="139"/>
      <c r="F20" s="117"/>
    </row>
    <row r="21" spans="1:6" s="3" customFormat="1" ht="24" thickBot="1">
      <c r="A21" s="140"/>
      <c r="B21" s="141"/>
      <c r="C21" s="119"/>
      <c r="D21" s="119"/>
      <c r="E21" s="142"/>
      <c r="F21" s="119"/>
    </row>
    <row r="22" spans="1:6" s="3" customFormat="1" ht="30" customHeight="1" thickBot="1" thickTop="1">
      <c r="A22" s="143"/>
      <c r="B22" s="144"/>
      <c r="C22" s="110"/>
      <c r="D22" s="110"/>
      <c r="E22" s="111">
        <f>SUM(E7:E21)</f>
        <v>286500</v>
      </c>
      <c r="F22" s="112">
        <f>SUM(F13:F21)</f>
        <v>286500</v>
      </c>
    </row>
    <row r="23" spans="1:6" s="3" customFormat="1" ht="19.5" customHeight="1" thickTop="1">
      <c r="A23" s="5"/>
      <c r="B23" s="5"/>
      <c r="C23" s="5"/>
      <c r="D23" s="5"/>
      <c r="E23" s="67"/>
      <c r="F23" s="5"/>
    </row>
    <row r="24" spans="1:5" s="3" customFormat="1" ht="24.75" customHeight="1">
      <c r="A24" s="113" t="s">
        <v>161</v>
      </c>
      <c r="B24" s="113"/>
      <c r="E24" s="66"/>
    </row>
    <row r="25" spans="2:5" s="3" customFormat="1" ht="23.25" customHeight="1">
      <c r="B25" s="3" t="s">
        <v>255</v>
      </c>
      <c r="E25" s="66"/>
    </row>
    <row r="26" spans="5:7" s="3" customFormat="1" ht="23.25">
      <c r="E26" s="66"/>
      <c r="G26" s="5"/>
    </row>
    <row r="27" spans="1:7" s="3" customFormat="1" ht="24.75" customHeight="1">
      <c r="A27" s="434" t="s">
        <v>78</v>
      </c>
      <c r="B27" s="427"/>
      <c r="C27" s="426" t="s">
        <v>162</v>
      </c>
      <c r="D27" s="427"/>
      <c r="E27" s="426" t="s">
        <v>265</v>
      </c>
      <c r="F27" s="427"/>
      <c r="G27" s="16"/>
    </row>
    <row r="28" spans="1:7" s="3" customFormat="1" ht="24.75" customHeight="1">
      <c r="A28" s="16"/>
      <c r="B28" s="94"/>
      <c r="C28" s="96"/>
      <c r="D28" s="16"/>
      <c r="E28" s="96"/>
      <c r="F28" s="94"/>
      <c r="G28" s="16"/>
    </row>
    <row r="29" spans="1:7" s="3" customFormat="1" ht="24.75" customHeight="1">
      <c r="A29" s="16"/>
      <c r="B29" s="94"/>
      <c r="C29" s="96"/>
      <c r="D29" s="16"/>
      <c r="E29" s="96"/>
      <c r="F29" s="94"/>
      <c r="G29" s="16"/>
    </row>
    <row r="30" spans="1:7" s="3" customFormat="1" ht="24.75" customHeight="1">
      <c r="A30" s="16"/>
      <c r="B30" s="94" t="s">
        <v>266</v>
      </c>
      <c r="C30" s="431" t="s">
        <v>163</v>
      </c>
      <c r="D30" s="429"/>
      <c r="E30" s="431" t="s">
        <v>266</v>
      </c>
      <c r="F30" s="429"/>
      <c r="G30" s="16"/>
    </row>
    <row r="31" spans="1:7" s="3" customFormat="1" ht="24.75" customHeight="1">
      <c r="A31" s="16"/>
      <c r="B31" s="94" t="s">
        <v>267</v>
      </c>
      <c r="C31" s="431" t="s">
        <v>164</v>
      </c>
      <c r="D31" s="429"/>
      <c r="E31" s="431" t="s">
        <v>267</v>
      </c>
      <c r="F31" s="429"/>
      <c r="G31" s="16"/>
    </row>
    <row r="32" spans="1:7" s="3" customFormat="1" ht="23.25">
      <c r="A32" s="7"/>
      <c r="B32" s="8"/>
      <c r="C32" s="145"/>
      <c r="D32" s="7"/>
      <c r="E32" s="146"/>
      <c r="F32" s="8"/>
      <c r="G32" s="5"/>
    </row>
    <row r="33" spans="1:7" s="3" customFormat="1" ht="23.25">
      <c r="A33" s="5"/>
      <c r="B33" s="5"/>
      <c r="C33" s="5"/>
      <c r="D33" s="5"/>
      <c r="E33" s="67"/>
      <c r="F33" s="5"/>
      <c r="G33" s="5"/>
    </row>
    <row r="34" spans="1:7" s="3" customFormat="1" ht="23.25">
      <c r="A34" s="6" t="s">
        <v>222</v>
      </c>
      <c r="B34" s="6"/>
      <c r="E34" s="3" t="s">
        <v>204</v>
      </c>
      <c r="G34" s="1"/>
    </row>
    <row r="35" spans="5:7" s="3" customFormat="1" ht="23.25">
      <c r="E35" s="3" t="s">
        <v>298</v>
      </c>
      <c r="G35" s="1"/>
    </row>
    <row r="36" spans="1:7" s="3" customFormat="1" ht="23.25">
      <c r="A36" s="404" t="s">
        <v>200</v>
      </c>
      <c r="B36" s="404"/>
      <c r="C36" s="404"/>
      <c r="D36" s="404"/>
      <c r="E36" s="404"/>
      <c r="F36" s="404"/>
      <c r="G36" s="1"/>
    </row>
    <row r="37" spans="1:7" s="3" customFormat="1" ht="23.25">
      <c r="A37" s="3" t="s">
        <v>165</v>
      </c>
      <c r="E37" s="66"/>
      <c r="G37" s="1"/>
    </row>
    <row r="38" spans="1:7" s="3" customFormat="1" ht="23.25">
      <c r="A38" s="432" t="s">
        <v>5</v>
      </c>
      <c r="B38" s="433"/>
      <c r="C38" s="98" t="s">
        <v>54</v>
      </c>
      <c r="D38" s="98" t="s">
        <v>152</v>
      </c>
      <c r="E38" s="98" t="s">
        <v>55</v>
      </c>
      <c r="F38" s="98" t="s">
        <v>56</v>
      </c>
      <c r="G38" s="1"/>
    </row>
    <row r="39" spans="1:7" s="3" customFormat="1" ht="23.25">
      <c r="A39" s="131" t="s">
        <v>281</v>
      </c>
      <c r="B39" s="117"/>
      <c r="C39" s="83" t="s">
        <v>90</v>
      </c>
      <c r="D39" s="83"/>
      <c r="E39" s="132"/>
      <c r="F39" s="133"/>
      <c r="G39" s="1"/>
    </row>
    <row r="40" spans="1:7" s="3" customFormat="1" ht="23.25">
      <c r="A40" s="134"/>
      <c r="B40" s="135" t="s">
        <v>283</v>
      </c>
      <c r="C40" s="83"/>
      <c r="D40" s="83"/>
      <c r="E40" s="116">
        <v>2429209.22</v>
      </c>
      <c r="F40" s="132"/>
      <c r="G40" s="1"/>
    </row>
    <row r="41" spans="1:7" s="3" customFormat="1" ht="23.25">
      <c r="A41" s="208"/>
      <c r="B41" s="135"/>
      <c r="C41" s="83"/>
      <c r="D41" s="83"/>
      <c r="E41" s="155"/>
      <c r="F41" s="132"/>
      <c r="G41" s="1"/>
    </row>
    <row r="42" spans="1:7" s="3" customFormat="1" ht="23.25">
      <c r="A42" s="208"/>
      <c r="B42" s="8"/>
      <c r="C42" s="83"/>
      <c r="D42" s="83"/>
      <c r="E42" s="118"/>
      <c r="F42" s="132"/>
      <c r="G42" s="1"/>
    </row>
    <row r="43" spans="1:7" s="3" customFormat="1" ht="23.25">
      <c r="A43" s="208"/>
      <c r="B43" s="8"/>
      <c r="C43" s="83"/>
      <c r="D43" s="83"/>
      <c r="E43" s="118"/>
      <c r="F43" s="132"/>
      <c r="G43" s="1"/>
    </row>
    <row r="44" spans="1:7" s="3" customFormat="1" ht="23.25">
      <c r="A44" s="136"/>
      <c r="B44" s="130"/>
      <c r="C44" s="98"/>
      <c r="D44" s="98"/>
      <c r="E44" s="98"/>
      <c r="F44" s="98"/>
      <c r="G44" s="1"/>
    </row>
    <row r="45" spans="1:7" s="3" customFormat="1" ht="23.25">
      <c r="A45" s="136"/>
      <c r="B45" s="130"/>
      <c r="C45" s="98"/>
      <c r="D45" s="98"/>
      <c r="E45" s="98"/>
      <c r="F45" s="98"/>
      <c r="G45" s="1"/>
    </row>
    <row r="46" spans="1:7" s="3" customFormat="1" ht="23.25">
      <c r="A46" s="135" t="s">
        <v>282</v>
      </c>
      <c r="B46" s="117"/>
      <c r="C46" s="83" t="s">
        <v>59</v>
      </c>
      <c r="D46" s="83"/>
      <c r="E46" s="132"/>
      <c r="F46" s="117"/>
      <c r="G46" s="1"/>
    </row>
    <row r="47" spans="1:7" s="3" customFormat="1" ht="23.25">
      <c r="A47" s="134"/>
      <c r="B47" s="8" t="s">
        <v>234</v>
      </c>
      <c r="C47" s="83"/>
      <c r="D47" s="83"/>
      <c r="E47" s="132"/>
      <c r="F47" s="116">
        <v>2429209.22</v>
      </c>
      <c r="G47" s="1"/>
    </row>
    <row r="48" spans="1:7" s="3" customFormat="1" ht="23.25">
      <c r="A48" s="134"/>
      <c r="B48" s="8"/>
      <c r="C48" s="83"/>
      <c r="D48" s="83"/>
      <c r="E48" s="132"/>
      <c r="F48" s="287"/>
      <c r="G48" s="1"/>
    </row>
    <row r="49" spans="1:7" s="3" customFormat="1" ht="23.25">
      <c r="A49" s="134"/>
      <c r="B49" s="135"/>
      <c r="C49" s="83"/>
      <c r="D49" s="83"/>
      <c r="E49" s="132"/>
      <c r="F49" s="116"/>
      <c r="G49" s="1"/>
    </row>
    <row r="50" spans="1:7" s="3" customFormat="1" ht="23.25">
      <c r="A50" s="134"/>
      <c r="B50" s="135"/>
      <c r="C50" s="83"/>
      <c r="D50" s="83"/>
      <c r="E50" s="132"/>
      <c r="F50" s="116"/>
      <c r="G50" s="1"/>
    </row>
    <row r="51" spans="1:7" s="3" customFormat="1" ht="23.25">
      <c r="A51" s="134"/>
      <c r="B51" s="135"/>
      <c r="C51" s="83"/>
      <c r="D51" s="83"/>
      <c r="E51" s="132"/>
      <c r="F51" s="138"/>
      <c r="G51" s="1"/>
    </row>
    <row r="52" spans="1:7" s="3" customFormat="1" ht="23.25">
      <c r="A52" s="134"/>
      <c r="B52" s="135"/>
      <c r="C52" s="117"/>
      <c r="D52" s="117"/>
      <c r="E52" s="139"/>
      <c r="F52" s="133"/>
      <c r="G52" s="1"/>
    </row>
    <row r="53" spans="1:7" s="3" customFormat="1" ht="23.25">
      <c r="A53" s="134"/>
      <c r="B53" s="135"/>
      <c r="C53" s="117"/>
      <c r="D53" s="117"/>
      <c r="E53" s="139"/>
      <c r="F53" s="117"/>
      <c r="G53" s="1"/>
    </row>
    <row r="54" spans="1:7" s="3" customFormat="1" ht="24" thickBot="1">
      <c r="A54" s="140"/>
      <c r="B54" s="141"/>
      <c r="C54" s="119"/>
      <c r="D54" s="119"/>
      <c r="E54" s="142"/>
      <c r="F54" s="119"/>
      <c r="G54" s="1"/>
    </row>
    <row r="55" spans="1:7" s="3" customFormat="1" ht="24.75" thickBot="1" thickTop="1">
      <c r="A55" s="143"/>
      <c r="B55" s="144"/>
      <c r="C55" s="110"/>
      <c r="D55" s="110"/>
      <c r="E55" s="111">
        <f>SUM(E40:E54)</f>
        <v>2429209.22</v>
      </c>
      <c r="F55" s="112">
        <f>SUM(F46:F54)</f>
        <v>2429209.22</v>
      </c>
      <c r="G55" s="1"/>
    </row>
    <row r="56" spans="1:7" s="3" customFormat="1" ht="24" thickTop="1">
      <c r="A56" s="5"/>
      <c r="B56" s="5"/>
      <c r="C56" s="5"/>
      <c r="D56" s="5"/>
      <c r="E56" s="67"/>
      <c r="F56" s="5"/>
      <c r="G56" s="1"/>
    </row>
    <row r="57" spans="1:7" s="3" customFormat="1" ht="23.25">
      <c r="A57" s="113" t="s">
        <v>161</v>
      </c>
      <c r="B57" s="113"/>
      <c r="E57" s="66"/>
      <c r="G57" s="1"/>
    </row>
    <row r="58" spans="2:7" s="3" customFormat="1" ht="23.25">
      <c r="B58" s="3" t="s">
        <v>203</v>
      </c>
      <c r="E58" s="66"/>
      <c r="G58" s="1"/>
    </row>
    <row r="59" spans="5:7" s="3" customFormat="1" ht="23.25">
      <c r="E59" s="66"/>
      <c r="G59" s="1"/>
    </row>
    <row r="60" spans="1:7" s="3" customFormat="1" ht="23.25">
      <c r="A60" s="434" t="s">
        <v>78</v>
      </c>
      <c r="B60" s="427"/>
      <c r="C60" s="426" t="s">
        <v>162</v>
      </c>
      <c r="D60" s="427"/>
      <c r="E60" s="426" t="s">
        <v>265</v>
      </c>
      <c r="F60" s="427"/>
      <c r="G60" s="1"/>
    </row>
    <row r="61" spans="1:7" s="3" customFormat="1" ht="23.25">
      <c r="A61" s="16"/>
      <c r="B61" s="94"/>
      <c r="C61" s="96"/>
      <c r="D61" s="16"/>
      <c r="E61" s="96"/>
      <c r="F61" s="94"/>
      <c r="G61" s="1"/>
    </row>
    <row r="62" spans="1:7" s="3" customFormat="1" ht="23.25">
      <c r="A62" s="16"/>
      <c r="B62" s="94"/>
      <c r="C62" s="96"/>
      <c r="D62" s="16"/>
      <c r="E62" s="96"/>
      <c r="F62" s="94"/>
      <c r="G62" s="1"/>
    </row>
    <row r="63" spans="1:7" s="3" customFormat="1" ht="23.25">
      <c r="A63" s="16"/>
      <c r="B63" s="94" t="s">
        <v>266</v>
      </c>
      <c r="C63" s="431" t="s">
        <v>163</v>
      </c>
      <c r="D63" s="429"/>
      <c r="E63" s="431" t="s">
        <v>266</v>
      </c>
      <c r="F63" s="429"/>
      <c r="G63" s="1"/>
    </row>
    <row r="64" spans="1:7" s="3" customFormat="1" ht="23.25">
      <c r="A64" s="16"/>
      <c r="B64" s="94" t="s">
        <v>267</v>
      </c>
      <c r="C64" s="431" t="s">
        <v>164</v>
      </c>
      <c r="D64" s="429"/>
      <c r="E64" s="431" t="s">
        <v>267</v>
      </c>
      <c r="F64" s="429"/>
      <c r="G64" s="1"/>
    </row>
    <row r="65" spans="1:7" s="3" customFormat="1" ht="23.25">
      <c r="A65" s="7"/>
      <c r="B65" s="8"/>
      <c r="C65" s="145"/>
      <c r="D65" s="7"/>
      <c r="E65" s="146"/>
      <c r="F65" s="8"/>
      <c r="G65" s="1"/>
    </row>
    <row r="66" spans="1:7" s="3" customFormat="1" ht="23.25">
      <c r="A66" s="1"/>
      <c r="B66" s="1"/>
      <c r="C66" s="1"/>
      <c r="D66" s="1"/>
      <c r="E66" s="76"/>
      <c r="F66" s="1"/>
      <c r="G66" s="1"/>
    </row>
    <row r="68" spans="1:6" ht="23.25">
      <c r="A68" s="6" t="s">
        <v>222</v>
      </c>
      <c r="B68" s="6"/>
      <c r="C68" s="3"/>
      <c r="D68" s="3"/>
      <c r="E68" s="3" t="s">
        <v>204</v>
      </c>
      <c r="F68" s="3"/>
    </row>
    <row r="69" spans="1:6" ht="23.25">
      <c r="A69" s="3"/>
      <c r="B69" s="3"/>
      <c r="C69" s="3"/>
      <c r="D69" s="3"/>
      <c r="E69" s="3" t="s">
        <v>298</v>
      </c>
      <c r="F69" s="3"/>
    </row>
    <row r="70" spans="1:6" ht="23.25">
      <c r="A70" s="404" t="s">
        <v>200</v>
      </c>
      <c r="B70" s="404"/>
      <c r="C70" s="404"/>
      <c r="D70" s="404"/>
      <c r="E70" s="404"/>
      <c r="F70" s="404"/>
    </row>
    <row r="71" spans="1:6" ht="23.25">
      <c r="A71" s="3" t="s">
        <v>165</v>
      </c>
      <c r="B71" s="3"/>
      <c r="C71" s="3"/>
      <c r="D71" s="3"/>
      <c r="E71" s="66"/>
      <c r="F71" s="3"/>
    </row>
    <row r="72" spans="1:6" ht="23.25">
      <c r="A72" s="432" t="s">
        <v>5</v>
      </c>
      <c r="B72" s="433"/>
      <c r="C72" s="98" t="s">
        <v>54</v>
      </c>
      <c r="D72" s="98" t="s">
        <v>152</v>
      </c>
      <c r="E72" s="98" t="s">
        <v>55</v>
      </c>
      <c r="F72" s="98" t="s">
        <v>56</v>
      </c>
    </row>
    <row r="73" spans="1:6" ht="23.25">
      <c r="A73" s="131" t="s">
        <v>201</v>
      </c>
      <c r="B73" s="117"/>
      <c r="C73" s="83" t="s">
        <v>59</v>
      </c>
      <c r="D73" s="83"/>
      <c r="E73" s="132"/>
      <c r="F73" s="133"/>
    </row>
    <row r="74" spans="1:6" ht="23.25">
      <c r="A74" s="134"/>
      <c r="B74" s="135" t="s">
        <v>225</v>
      </c>
      <c r="C74" s="83"/>
      <c r="D74" s="83"/>
      <c r="E74" s="116">
        <v>2191522.85</v>
      </c>
      <c r="F74" s="132"/>
    </row>
    <row r="75" spans="1:6" ht="23.25">
      <c r="A75" s="208"/>
      <c r="B75" s="8" t="s">
        <v>278</v>
      </c>
      <c r="C75" s="83"/>
      <c r="D75" s="83"/>
      <c r="E75" s="305">
        <v>450092</v>
      </c>
      <c r="F75" s="132"/>
    </row>
    <row r="76" spans="1:6" ht="23.25">
      <c r="A76" s="208"/>
      <c r="B76" s="8"/>
      <c r="C76" s="83"/>
      <c r="D76" s="83"/>
      <c r="E76" s="118"/>
      <c r="F76" s="132"/>
    </row>
    <row r="77" spans="1:6" ht="23.25">
      <c r="A77" s="208"/>
      <c r="B77" s="8"/>
      <c r="C77" s="83"/>
      <c r="D77" s="83"/>
      <c r="E77" s="118"/>
      <c r="F77" s="132"/>
    </row>
    <row r="78" spans="1:6" ht="23.25">
      <c r="A78" s="136"/>
      <c r="B78" s="130"/>
      <c r="C78" s="98"/>
      <c r="D78" s="98"/>
      <c r="E78" s="98"/>
      <c r="F78" s="98"/>
    </row>
    <row r="79" spans="1:6" ht="23.25">
      <c r="A79" s="136"/>
      <c r="B79" s="130"/>
      <c r="C79" s="98"/>
      <c r="D79" s="98"/>
      <c r="E79" s="98"/>
      <c r="F79" s="98"/>
    </row>
    <row r="80" spans="1:6" ht="23.25">
      <c r="A80" s="135" t="s">
        <v>202</v>
      </c>
      <c r="B80" s="117"/>
      <c r="C80" s="83" t="s">
        <v>90</v>
      </c>
      <c r="D80" s="83"/>
      <c r="E80" s="132"/>
      <c r="F80" s="117"/>
    </row>
    <row r="81" spans="1:6" ht="23.25">
      <c r="A81" s="134"/>
      <c r="B81" s="135" t="s">
        <v>283</v>
      </c>
      <c r="C81" s="83"/>
      <c r="D81" s="83"/>
      <c r="E81" s="132"/>
      <c r="F81" s="305">
        <v>450092</v>
      </c>
    </row>
    <row r="82" spans="1:6" ht="23.25">
      <c r="A82" s="134"/>
      <c r="B82" s="8" t="s">
        <v>284</v>
      </c>
      <c r="C82" s="83"/>
      <c r="D82" s="83"/>
      <c r="E82" s="132"/>
      <c r="F82" s="116">
        <v>2191522.85</v>
      </c>
    </row>
    <row r="83" spans="1:6" ht="23.25">
      <c r="A83" s="134"/>
      <c r="B83" s="135"/>
      <c r="C83" s="83"/>
      <c r="D83" s="83"/>
      <c r="E83" s="132"/>
      <c r="F83" s="287"/>
    </row>
    <row r="84" spans="1:6" ht="23.25">
      <c r="A84" s="134"/>
      <c r="B84" s="135"/>
      <c r="C84" s="83"/>
      <c r="D84" s="83"/>
      <c r="E84" s="132"/>
      <c r="F84" s="116"/>
    </row>
    <row r="85" spans="1:6" ht="23.25">
      <c r="A85" s="134"/>
      <c r="B85" s="135"/>
      <c r="C85" s="83"/>
      <c r="D85" s="83"/>
      <c r="E85" s="132"/>
      <c r="F85" s="138"/>
    </row>
    <row r="86" spans="1:6" ht="23.25">
      <c r="A86" s="134"/>
      <c r="B86" s="135"/>
      <c r="C86" s="117"/>
      <c r="D86" s="117"/>
      <c r="E86" s="139"/>
      <c r="F86" s="133"/>
    </row>
    <row r="87" spans="1:6" ht="23.25">
      <c r="A87" s="134"/>
      <c r="B87" s="135"/>
      <c r="C87" s="117"/>
      <c r="D87" s="117"/>
      <c r="E87" s="139"/>
      <c r="F87" s="117"/>
    </row>
    <row r="88" spans="1:6" ht="24" thickBot="1">
      <c r="A88" s="140"/>
      <c r="B88" s="141"/>
      <c r="C88" s="119"/>
      <c r="D88" s="119"/>
      <c r="E88" s="142"/>
      <c r="F88" s="119"/>
    </row>
    <row r="89" spans="1:6" ht="24.75" thickBot="1" thickTop="1">
      <c r="A89" s="143"/>
      <c r="B89" s="144"/>
      <c r="C89" s="110"/>
      <c r="D89" s="110"/>
      <c r="E89" s="111">
        <f>SUM(E74:E88)</f>
        <v>2641614.85</v>
      </c>
      <c r="F89" s="112">
        <f>SUM(F80:F88)</f>
        <v>2641614.85</v>
      </c>
    </row>
    <row r="90" spans="1:6" ht="24" thickTop="1">
      <c r="A90" s="5"/>
      <c r="B90" s="5"/>
      <c r="C90" s="5"/>
      <c r="D90" s="5"/>
      <c r="E90" s="67"/>
      <c r="F90" s="5"/>
    </row>
    <row r="91" spans="1:6" ht="23.25">
      <c r="A91" s="113" t="s">
        <v>161</v>
      </c>
      <c r="B91" s="113"/>
      <c r="C91" s="3"/>
      <c r="D91" s="3"/>
      <c r="E91" s="66"/>
      <c r="F91" s="3"/>
    </row>
    <row r="92" spans="1:6" ht="23.25">
      <c r="A92" s="3"/>
      <c r="B92" s="3" t="s">
        <v>203</v>
      </c>
      <c r="C92" s="3"/>
      <c r="D92" s="3"/>
      <c r="E92" s="66"/>
      <c r="F92" s="3"/>
    </row>
    <row r="93" spans="1:6" ht="23.25">
      <c r="A93" s="3"/>
      <c r="B93" s="3"/>
      <c r="C93" s="3"/>
      <c r="D93" s="3"/>
      <c r="E93" s="66"/>
      <c r="F93" s="3"/>
    </row>
    <row r="94" spans="1:6" ht="23.25">
      <c r="A94" s="434" t="s">
        <v>78</v>
      </c>
      <c r="B94" s="427"/>
      <c r="C94" s="426" t="s">
        <v>162</v>
      </c>
      <c r="D94" s="427"/>
      <c r="E94" s="426" t="s">
        <v>265</v>
      </c>
      <c r="F94" s="427"/>
    </row>
    <row r="95" spans="1:6" ht="23.25">
      <c r="A95" s="16"/>
      <c r="B95" s="94"/>
      <c r="C95" s="96"/>
      <c r="D95" s="16"/>
      <c r="E95" s="96"/>
      <c r="F95" s="94"/>
    </row>
    <row r="96" spans="1:6" ht="23.25">
      <c r="A96" s="16"/>
      <c r="B96" s="94"/>
      <c r="C96" s="96"/>
      <c r="D96" s="16"/>
      <c r="E96" s="96"/>
      <c r="F96" s="94"/>
    </row>
    <row r="97" spans="1:6" ht="23.25">
      <c r="A97" s="16"/>
      <c r="B97" s="94" t="s">
        <v>266</v>
      </c>
      <c r="C97" s="431" t="s">
        <v>163</v>
      </c>
      <c r="D97" s="429"/>
      <c r="E97" s="431" t="s">
        <v>266</v>
      </c>
      <c r="F97" s="429"/>
    </row>
    <row r="98" spans="1:6" ht="23.25">
      <c r="A98" s="16"/>
      <c r="B98" s="94" t="s">
        <v>267</v>
      </c>
      <c r="C98" s="431" t="s">
        <v>164</v>
      </c>
      <c r="D98" s="429"/>
      <c r="E98" s="431" t="s">
        <v>267</v>
      </c>
      <c r="F98" s="429"/>
    </row>
    <row r="99" spans="1:6" ht="23.25">
      <c r="A99" s="7"/>
      <c r="B99" s="8"/>
      <c r="C99" s="145"/>
      <c r="D99" s="7"/>
      <c r="E99" s="146"/>
      <c r="F99" s="8"/>
    </row>
    <row r="100" spans="1:6" ht="23.25">
      <c r="A100" s="5"/>
      <c r="B100" s="5"/>
      <c r="C100" s="5"/>
      <c r="D100" s="5"/>
      <c r="E100" s="67"/>
      <c r="F100" s="5"/>
    </row>
    <row r="101" spans="1:6" ht="23.25">
      <c r="A101" s="5"/>
      <c r="B101" s="5"/>
      <c r="C101" s="5"/>
      <c r="D101" s="5"/>
      <c r="E101" s="67"/>
      <c r="F101" s="5"/>
    </row>
    <row r="102" spans="1:6" ht="23.25">
      <c r="A102" s="6" t="s">
        <v>222</v>
      </c>
      <c r="B102" s="6"/>
      <c r="C102" s="3"/>
      <c r="D102" s="3"/>
      <c r="E102" s="3" t="s">
        <v>204</v>
      </c>
      <c r="F102" s="3"/>
    </row>
    <row r="103" spans="1:6" ht="23.25">
      <c r="A103" s="3"/>
      <c r="B103" s="3"/>
      <c r="C103" s="3"/>
      <c r="D103" s="3"/>
      <c r="E103" s="3" t="s">
        <v>298</v>
      </c>
      <c r="F103" s="3"/>
    </row>
    <row r="104" spans="1:6" ht="23.25">
      <c r="A104" s="404" t="s">
        <v>200</v>
      </c>
      <c r="B104" s="404"/>
      <c r="C104" s="404"/>
      <c r="D104" s="404"/>
      <c r="E104" s="404"/>
      <c r="F104" s="404"/>
    </row>
    <row r="105" spans="1:6" ht="23.25">
      <c r="A105" s="3" t="s">
        <v>165</v>
      </c>
      <c r="B105" s="3"/>
      <c r="C105" s="3"/>
      <c r="D105" s="3"/>
      <c r="E105" s="66"/>
      <c r="F105" s="3"/>
    </row>
    <row r="106" spans="1:6" ht="23.25">
      <c r="A106" s="432" t="s">
        <v>5</v>
      </c>
      <c r="B106" s="433"/>
      <c r="C106" s="98" t="s">
        <v>54</v>
      </c>
      <c r="D106" s="98" t="s">
        <v>152</v>
      </c>
      <c r="E106" s="98" t="s">
        <v>55</v>
      </c>
      <c r="F106" s="98" t="s">
        <v>56</v>
      </c>
    </row>
    <row r="107" spans="1:6" ht="23.25">
      <c r="A107" s="208" t="s">
        <v>311</v>
      </c>
      <c r="B107" s="135"/>
      <c r="C107" s="83" t="s">
        <v>315</v>
      </c>
      <c r="D107" s="83"/>
      <c r="E107" s="132">
        <v>8.05</v>
      </c>
      <c r="F107" s="133"/>
    </row>
    <row r="108" spans="1:6" ht="23.25">
      <c r="A108" s="134" t="s">
        <v>312</v>
      </c>
      <c r="B108" s="135"/>
      <c r="C108" s="83" t="s">
        <v>316</v>
      </c>
      <c r="D108" s="83"/>
      <c r="E108" s="116">
        <v>9.66</v>
      </c>
      <c r="F108" s="132"/>
    </row>
    <row r="109" spans="1:6" ht="23.25">
      <c r="A109" s="208" t="s">
        <v>276</v>
      </c>
      <c r="B109" s="135"/>
      <c r="C109" s="83" t="s">
        <v>72</v>
      </c>
      <c r="D109" s="83"/>
      <c r="E109" s="116">
        <v>143.29</v>
      </c>
      <c r="F109" s="132"/>
    </row>
    <row r="110" spans="1:6" ht="23.25">
      <c r="A110" s="208"/>
      <c r="B110" s="8"/>
      <c r="C110" s="83"/>
      <c r="D110" s="83"/>
      <c r="E110" s="118"/>
      <c r="F110" s="132"/>
    </row>
    <row r="111" spans="1:6" ht="23.25">
      <c r="A111" s="208"/>
      <c r="B111" s="8"/>
      <c r="C111" s="83"/>
      <c r="D111" s="83"/>
      <c r="E111" s="118"/>
      <c r="F111" s="132"/>
    </row>
    <row r="112" spans="1:6" ht="23.25">
      <c r="A112" s="136"/>
      <c r="B112" s="130"/>
      <c r="C112" s="98"/>
      <c r="D112" s="98"/>
      <c r="E112" s="98"/>
      <c r="F112" s="98"/>
    </row>
    <row r="113" spans="1:6" ht="23.25">
      <c r="A113" s="136"/>
      <c r="B113" s="130"/>
      <c r="C113" s="98"/>
      <c r="D113" s="98"/>
      <c r="E113" s="98"/>
      <c r="F113" s="98"/>
    </row>
    <row r="114" spans="1:6" ht="23.25">
      <c r="A114" s="208"/>
      <c r="B114" s="135" t="s">
        <v>313</v>
      </c>
      <c r="C114" s="83" t="s">
        <v>87</v>
      </c>
      <c r="D114" s="83"/>
      <c r="E114" s="132"/>
      <c r="F114" s="138">
        <v>94</v>
      </c>
    </row>
    <row r="115" spans="1:6" ht="23.25">
      <c r="A115" s="134"/>
      <c r="B115" s="8" t="s">
        <v>62</v>
      </c>
      <c r="C115" s="83" t="s">
        <v>314</v>
      </c>
      <c r="D115" s="83"/>
      <c r="E115" s="132"/>
      <c r="F115" s="116">
        <v>67</v>
      </c>
    </row>
    <row r="116" spans="1:6" ht="23.25">
      <c r="A116" s="134"/>
      <c r="B116" s="8"/>
      <c r="C116" s="83"/>
      <c r="D116" s="83"/>
      <c r="E116" s="132"/>
      <c r="F116" s="287"/>
    </row>
    <row r="117" spans="1:6" ht="23.25">
      <c r="A117" s="134"/>
      <c r="B117" s="135"/>
      <c r="C117" s="83"/>
      <c r="D117" s="83"/>
      <c r="E117" s="132"/>
      <c r="F117" s="116"/>
    </row>
    <row r="118" spans="1:6" ht="23.25">
      <c r="A118" s="134"/>
      <c r="B118" s="135"/>
      <c r="C118" s="83"/>
      <c r="D118" s="83"/>
      <c r="E118" s="132"/>
      <c r="F118" s="116"/>
    </row>
    <row r="119" spans="1:6" ht="23.25">
      <c r="A119" s="134"/>
      <c r="B119" s="135"/>
      <c r="C119" s="83"/>
      <c r="D119" s="83"/>
      <c r="E119" s="132"/>
      <c r="F119" s="138"/>
    </row>
    <row r="120" spans="1:6" ht="23.25">
      <c r="A120" s="134"/>
      <c r="B120" s="135"/>
      <c r="C120" s="117"/>
      <c r="D120" s="117"/>
      <c r="E120" s="139"/>
      <c r="F120" s="133"/>
    </row>
    <row r="121" spans="1:6" ht="23.25">
      <c r="A121" s="134"/>
      <c r="B121" s="135"/>
      <c r="C121" s="117"/>
      <c r="D121" s="117"/>
      <c r="E121" s="139"/>
      <c r="F121" s="117"/>
    </row>
    <row r="122" spans="1:6" ht="24" thickBot="1">
      <c r="A122" s="140"/>
      <c r="B122" s="141"/>
      <c r="C122" s="119"/>
      <c r="D122" s="119"/>
      <c r="E122" s="142"/>
      <c r="F122" s="119"/>
    </row>
    <row r="123" spans="1:6" ht="24.75" thickBot="1" thickTop="1">
      <c r="A123" s="143"/>
      <c r="B123" s="144"/>
      <c r="C123" s="110"/>
      <c r="D123" s="110"/>
      <c r="E123" s="111">
        <f>SUM(E107:E109)</f>
        <v>161</v>
      </c>
      <c r="F123" s="112">
        <f>SUM(F114:F122)</f>
        <v>161</v>
      </c>
    </row>
    <row r="124" spans="1:6" ht="24" thickTop="1">
      <c r="A124" s="5"/>
      <c r="B124" s="5"/>
      <c r="C124" s="5"/>
      <c r="D124" s="5"/>
      <c r="E124" s="67"/>
      <c r="F124" s="5"/>
    </row>
    <row r="125" spans="1:6" ht="23.25">
      <c r="A125" s="113" t="s">
        <v>161</v>
      </c>
      <c r="B125" s="113"/>
      <c r="C125" s="3"/>
      <c r="D125" s="3"/>
      <c r="E125" s="66"/>
      <c r="F125" s="3"/>
    </row>
    <row r="126" spans="1:6" ht="23.25">
      <c r="A126" s="3"/>
      <c r="B126" s="3" t="s">
        <v>317</v>
      </c>
      <c r="C126" s="3"/>
      <c r="D126" s="3"/>
      <c r="E126" s="66"/>
      <c r="F126" s="3"/>
    </row>
    <row r="127" spans="1:6" ht="23.25">
      <c r="A127" s="3"/>
      <c r="B127" s="3"/>
      <c r="C127" s="3"/>
      <c r="D127" s="3"/>
      <c r="E127" s="66"/>
      <c r="F127" s="3"/>
    </row>
    <row r="128" spans="1:6" ht="23.25">
      <c r="A128" s="434" t="s">
        <v>78</v>
      </c>
      <c r="B128" s="427"/>
      <c r="C128" s="426" t="s">
        <v>162</v>
      </c>
      <c r="D128" s="427"/>
      <c r="E128" s="426" t="s">
        <v>265</v>
      </c>
      <c r="F128" s="427"/>
    </row>
    <row r="129" spans="1:6" ht="23.25">
      <c r="A129" s="16"/>
      <c r="B129" s="94"/>
      <c r="C129" s="96"/>
      <c r="D129" s="16"/>
      <c r="E129" s="96"/>
      <c r="F129" s="94"/>
    </row>
    <row r="130" spans="1:6" ht="23.25">
      <c r="A130" s="16"/>
      <c r="B130" s="94"/>
      <c r="C130" s="96"/>
      <c r="D130" s="16"/>
      <c r="E130" s="96"/>
      <c r="F130" s="94"/>
    </row>
    <row r="131" spans="1:6" ht="23.25">
      <c r="A131" s="16"/>
      <c r="B131" s="94" t="s">
        <v>266</v>
      </c>
      <c r="C131" s="431" t="s">
        <v>163</v>
      </c>
      <c r="D131" s="429"/>
      <c r="E131" s="431" t="s">
        <v>266</v>
      </c>
      <c r="F131" s="429"/>
    </row>
    <row r="132" spans="1:6" ht="23.25">
      <c r="A132" s="16"/>
      <c r="B132" s="94" t="s">
        <v>267</v>
      </c>
      <c r="C132" s="431" t="s">
        <v>164</v>
      </c>
      <c r="D132" s="429"/>
      <c r="E132" s="431" t="s">
        <v>267</v>
      </c>
      <c r="F132" s="429"/>
    </row>
    <row r="133" spans="1:6" ht="23.25">
      <c r="A133" s="7"/>
      <c r="B133" s="8"/>
      <c r="C133" s="145"/>
      <c r="D133" s="7"/>
      <c r="E133" s="146"/>
      <c r="F133" s="8"/>
    </row>
    <row r="137" spans="1:6" ht="23.25">
      <c r="A137" s="6" t="s">
        <v>222</v>
      </c>
      <c r="B137" s="6"/>
      <c r="C137" s="3"/>
      <c r="D137" s="3"/>
      <c r="E137" s="3" t="s">
        <v>204</v>
      </c>
      <c r="F137" s="3"/>
    </row>
    <row r="138" spans="1:6" ht="23.25">
      <c r="A138" s="3"/>
      <c r="B138" s="3"/>
      <c r="C138" s="3"/>
      <c r="D138" s="3"/>
      <c r="E138" s="3" t="s">
        <v>298</v>
      </c>
      <c r="F138" s="3"/>
    </row>
    <row r="139" spans="1:6" ht="23.25">
      <c r="A139" s="404" t="s">
        <v>200</v>
      </c>
      <c r="B139" s="404"/>
      <c r="C139" s="404"/>
      <c r="D139" s="404"/>
      <c r="E139" s="404"/>
      <c r="F139" s="404"/>
    </row>
    <row r="140" spans="1:6" ht="23.25">
      <c r="A140" s="3" t="s">
        <v>165</v>
      </c>
      <c r="B140" s="3"/>
      <c r="C140" s="3"/>
      <c r="D140" s="3"/>
      <c r="E140" s="66"/>
      <c r="F140" s="3"/>
    </row>
    <row r="141" spans="1:6" ht="23.25">
      <c r="A141" s="432" t="s">
        <v>5</v>
      </c>
      <c r="B141" s="433"/>
      <c r="C141" s="98" t="s">
        <v>54</v>
      </c>
      <c r="D141" s="98" t="s">
        <v>152</v>
      </c>
      <c r="E141" s="98" t="s">
        <v>55</v>
      </c>
      <c r="F141" s="98" t="s">
        <v>56</v>
      </c>
    </row>
    <row r="142" spans="1:6" ht="23.25">
      <c r="A142" s="208"/>
      <c r="B142" s="135"/>
      <c r="C142" s="83"/>
      <c r="D142" s="83"/>
      <c r="E142" s="132"/>
      <c r="F142" s="133"/>
    </row>
    <row r="143" spans="1:6" ht="23.25">
      <c r="A143" s="134" t="s">
        <v>312</v>
      </c>
      <c r="B143" s="135"/>
      <c r="C143" s="83" t="s">
        <v>316</v>
      </c>
      <c r="D143" s="83"/>
      <c r="E143" s="116">
        <v>0.05</v>
      </c>
      <c r="F143" s="132"/>
    </row>
    <row r="144" spans="1:6" ht="23.25">
      <c r="A144" s="208"/>
      <c r="B144" s="135"/>
      <c r="C144" s="83"/>
      <c r="D144" s="83"/>
      <c r="E144" s="116"/>
      <c r="F144" s="132"/>
    </row>
    <row r="145" spans="1:6" ht="23.25">
      <c r="A145" s="208"/>
      <c r="B145" s="8"/>
      <c r="C145" s="83"/>
      <c r="D145" s="83"/>
      <c r="E145" s="118"/>
      <c r="F145" s="132"/>
    </row>
    <row r="146" spans="1:6" ht="23.25">
      <c r="A146" s="208"/>
      <c r="B146" s="8"/>
      <c r="C146" s="83"/>
      <c r="D146" s="83"/>
      <c r="E146" s="118"/>
      <c r="F146" s="132"/>
    </row>
    <row r="147" spans="1:6" ht="23.25">
      <c r="A147" s="136"/>
      <c r="B147" s="130"/>
      <c r="C147" s="98"/>
      <c r="D147" s="98"/>
      <c r="E147" s="98"/>
      <c r="F147" s="98"/>
    </row>
    <row r="148" spans="1:6" ht="23.25">
      <c r="A148" s="136"/>
      <c r="B148" s="130"/>
      <c r="C148" s="98"/>
      <c r="D148" s="98"/>
      <c r="E148" s="98"/>
      <c r="F148" s="98"/>
    </row>
    <row r="149" spans="1:6" ht="23.25">
      <c r="A149" s="208"/>
      <c r="B149" s="135" t="s">
        <v>156</v>
      </c>
      <c r="C149" s="117"/>
      <c r="D149" s="83"/>
      <c r="E149" s="132"/>
      <c r="F149" s="138"/>
    </row>
    <row r="150" spans="1:6" ht="23.25">
      <c r="A150" s="134"/>
      <c r="B150" s="8" t="s">
        <v>284</v>
      </c>
      <c r="C150" s="8"/>
      <c r="D150" s="83"/>
      <c r="E150" s="132"/>
      <c r="F150" s="305">
        <v>0.05</v>
      </c>
    </row>
    <row r="151" spans="1:6" ht="23.25">
      <c r="A151" s="134"/>
      <c r="B151" s="135"/>
      <c r="C151" s="83"/>
      <c r="D151" s="83"/>
      <c r="E151" s="132"/>
      <c r="F151" s="116"/>
    </row>
    <row r="152" spans="1:6" ht="23.25">
      <c r="A152" s="134"/>
      <c r="B152" s="135"/>
      <c r="C152" s="83"/>
      <c r="D152" s="83"/>
      <c r="E152" s="132"/>
      <c r="F152" s="116"/>
    </row>
    <row r="153" spans="1:6" ht="23.25">
      <c r="A153" s="134"/>
      <c r="B153" s="135"/>
      <c r="C153" s="83"/>
      <c r="D153" s="83"/>
      <c r="E153" s="132"/>
      <c r="F153" s="138"/>
    </row>
    <row r="154" spans="1:6" ht="23.25">
      <c r="A154" s="134"/>
      <c r="B154" s="135"/>
      <c r="C154" s="117"/>
      <c r="D154" s="117"/>
      <c r="E154" s="139"/>
      <c r="F154" s="133"/>
    </row>
    <row r="155" spans="1:6" ht="23.25">
      <c r="A155" s="134"/>
      <c r="B155" s="135"/>
      <c r="C155" s="117"/>
      <c r="D155" s="117"/>
      <c r="E155" s="139"/>
      <c r="F155" s="117"/>
    </row>
    <row r="156" spans="1:6" ht="24" thickBot="1">
      <c r="A156" s="140"/>
      <c r="B156" s="141"/>
      <c r="C156" s="119"/>
      <c r="D156" s="119"/>
      <c r="E156" s="142"/>
      <c r="F156" s="119"/>
    </row>
    <row r="157" spans="1:6" ht="24.75" thickBot="1" thickTop="1">
      <c r="A157" s="143"/>
      <c r="B157" s="144"/>
      <c r="C157" s="110"/>
      <c r="D157" s="110"/>
      <c r="E157" s="111">
        <f>SUM(E142:E144)</f>
        <v>0.05</v>
      </c>
      <c r="F157" s="112">
        <f>SUM(F149:F156)</f>
        <v>0.05</v>
      </c>
    </row>
    <row r="158" spans="1:6" ht="24" thickTop="1">
      <c r="A158" s="5"/>
      <c r="B158" s="5"/>
      <c r="C158" s="5"/>
      <c r="D158" s="5"/>
      <c r="E158" s="67"/>
      <c r="F158" s="5"/>
    </row>
    <row r="159" spans="1:6" ht="23.25">
      <c r="A159" s="113" t="s">
        <v>161</v>
      </c>
      <c r="B159" s="113"/>
      <c r="C159" s="3"/>
      <c r="D159" s="3"/>
      <c r="E159" s="66"/>
      <c r="F159" s="3"/>
    </row>
    <row r="160" spans="1:6" ht="23.25">
      <c r="A160" s="3"/>
      <c r="B160" s="3" t="s">
        <v>323</v>
      </c>
      <c r="C160" s="3"/>
      <c r="D160" s="3"/>
      <c r="E160" s="66"/>
      <c r="F160" s="3"/>
    </row>
    <row r="161" spans="1:6" ht="23.25">
      <c r="A161" s="3"/>
      <c r="B161" s="3"/>
      <c r="C161" s="3"/>
      <c r="D161" s="3"/>
      <c r="E161" s="66"/>
      <c r="F161" s="3"/>
    </row>
    <row r="162" spans="1:6" ht="23.25">
      <c r="A162" s="434" t="s">
        <v>78</v>
      </c>
      <c r="B162" s="427"/>
      <c r="C162" s="426" t="s">
        <v>162</v>
      </c>
      <c r="D162" s="427"/>
      <c r="E162" s="426" t="s">
        <v>265</v>
      </c>
      <c r="F162" s="427"/>
    </row>
    <row r="163" spans="1:6" ht="23.25">
      <c r="A163" s="16"/>
      <c r="B163" s="94"/>
      <c r="C163" s="96"/>
      <c r="D163" s="16"/>
      <c r="E163" s="96"/>
      <c r="F163" s="94"/>
    </row>
    <row r="164" spans="1:6" ht="23.25">
      <c r="A164" s="16"/>
      <c r="B164" s="94"/>
      <c r="C164" s="96"/>
      <c r="D164" s="16"/>
      <c r="E164" s="96"/>
      <c r="F164" s="94"/>
    </row>
    <row r="165" spans="1:6" ht="23.25">
      <c r="A165" s="16"/>
      <c r="B165" s="94" t="s">
        <v>266</v>
      </c>
      <c r="C165" s="431" t="s">
        <v>163</v>
      </c>
      <c r="D165" s="429"/>
      <c r="E165" s="431" t="s">
        <v>266</v>
      </c>
      <c r="F165" s="429"/>
    </row>
    <row r="166" spans="1:6" ht="23.25">
      <c r="A166" s="16"/>
      <c r="B166" s="94" t="s">
        <v>267</v>
      </c>
      <c r="C166" s="431" t="s">
        <v>164</v>
      </c>
      <c r="D166" s="429"/>
      <c r="E166" s="431" t="s">
        <v>267</v>
      </c>
      <c r="F166" s="429"/>
    </row>
    <row r="167" spans="1:6" ht="23.25">
      <c r="A167" s="7"/>
      <c r="B167" s="8"/>
      <c r="C167" s="145"/>
      <c r="D167" s="7"/>
      <c r="E167" s="146"/>
      <c r="F167" s="8"/>
    </row>
    <row r="172" spans="1:6" ht="23.25">
      <c r="A172" s="6" t="s">
        <v>222</v>
      </c>
      <c r="B172" s="6"/>
      <c r="C172" s="3"/>
      <c r="D172" s="3"/>
      <c r="E172" s="3" t="s">
        <v>204</v>
      </c>
      <c r="F172" s="3"/>
    </row>
    <row r="173" spans="1:6" ht="23.25">
      <c r="A173" s="3"/>
      <c r="B173" s="3"/>
      <c r="C173" s="3"/>
      <c r="D173" s="3"/>
      <c r="E173" s="3" t="s">
        <v>298</v>
      </c>
      <c r="F173" s="3"/>
    </row>
    <row r="174" spans="1:6" ht="23.25">
      <c r="A174" s="404" t="s">
        <v>200</v>
      </c>
      <c r="B174" s="404"/>
      <c r="C174" s="404"/>
      <c r="D174" s="404"/>
      <c r="E174" s="404"/>
      <c r="F174" s="404"/>
    </row>
    <row r="175" spans="1:6" ht="23.25">
      <c r="A175" s="3" t="s">
        <v>165</v>
      </c>
      <c r="B175" s="3"/>
      <c r="C175" s="3"/>
      <c r="D175" s="3"/>
      <c r="E175" s="66"/>
      <c r="F175" s="3"/>
    </row>
    <row r="176" spans="1:6" ht="23.25">
      <c r="A176" s="432" t="s">
        <v>5</v>
      </c>
      <c r="B176" s="433"/>
      <c r="C176" s="98" t="s">
        <v>54</v>
      </c>
      <c r="D176" s="98" t="s">
        <v>152</v>
      </c>
      <c r="E176" s="98" t="s">
        <v>55</v>
      </c>
      <c r="F176" s="98" t="s">
        <v>56</v>
      </c>
    </row>
    <row r="177" spans="1:6" ht="23.25">
      <c r="A177" s="208"/>
      <c r="B177" s="135"/>
      <c r="C177" s="83"/>
      <c r="D177" s="83"/>
      <c r="E177" s="132"/>
      <c r="F177" s="133"/>
    </row>
    <row r="178" spans="1:6" ht="23.25">
      <c r="A178" s="135" t="s">
        <v>156</v>
      </c>
      <c r="B178" s="135"/>
      <c r="C178" s="83" t="s">
        <v>316</v>
      </c>
      <c r="D178" s="83"/>
      <c r="E178" s="116">
        <v>0.2</v>
      </c>
      <c r="F178" s="132"/>
    </row>
    <row r="179" spans="1:6" ht="23.25">
      <c r="A179" s="8" t="s">
        <v>284</v>
      </c>
      <c r="B179" s="135"/>
      <c r="C179" s="83"/>
      <c r="D179" s="83"/>
      <c r="E179" s="116"/>
      <c r="F179" s="132"/>
    </row>
    <row r="180" spans="1:6" ht="23.25">
      <c r="A180" s="208"/>
      <c r="B180" s="8"/>
      <c r="C180" s="83"/>
      <c r="D180" s="83"/>
      <c r="E180" s="118"/>
      <c r="F180" s="132"/>
    </row>
    <row r="181" spans="1:6" ht="23.25">
      <c r="A181" s="208"/>
      <c r="B181" s="8"/>
      <c r="C181" s="83"/>
      <c r="D181" s="83"/>
      <c r="E181" s="118"/>
      <c r="F181" s="132"/>
    </row>
    <row r="182" spans="1:6" ht="23.25">
      <c r="A182" s="136"/>
      <c r="B182" s="130"/>
      <c r="C182" s="98"/>
      <c r="D182" s="98"/>
      <c r="E182" s="98"/>
      <c r="F182" s="98"/>
    </row>
    <row r="183" spans="1:6" ht="23.25">
      <c r="A183" s="136"/>
      <c r="B183" s="130"/>
      <c r="C183" s="98"/>
      <c r="D183" s="98"/>
      <c r="E183" s="98"/>
      <c r="F183" s="98"/>
    </row>
    <row r="184" spans="1:6" ht="23.25">
      <c r="A184" s="208"/>
      <c r="B184" s="135"/>
      <c r="C184" s="117"/>
      <c r="D184" s="83"/>
      <c r="E184" s="132"/>
      <c r="F184" s="138"/>
    </row>
    <row r="185" spans="1:6" ht="23.25">
      <c r="A185" s="134"/>
      <c r="B185" s="8" t="s">
        <v>42</v>
      </c>
      <c r="C185" s="8"/>
      <c r="D185" s="83"/>
      <c r="E185" s="132"/>
      <c r="F185" s="305">
        <v>0.2</v>
      </c>
    </row>
    <row r="186" spans="1:6" ht="23.25">
      <c r="A186" s="134"/>
      <c r="B186" s="135"/>
      <c r="C186" s="83"/>
      <c r="D186" s="83"/>
      <c r="E186" s="132"/>
      <c r="F186" s="116"/>
    </row>
    <row r="187" spans="1:6" ht="23.25">
      <c r="A187" s="134"/>
      <c r="B187" s="135"/>
      <c r="C187" s="83"/>
      <c r="D187" s="83"/>
      <c r="E187" s="132"/>
      <c r="F187" s="116"/>
    </row>
    <row r="188" spans="1:6" ht="23.25">
      <c r="A188" s="134"/>
      <c r="B188" s="135"/>
      <c r="C188" s="83"/>
      <c r="D188" s="83"/>
      <c r="E188" s="132"/>
      <c r="F188" s="138"/>
    </row>
    <row r="189" spans="1:6" ht="23.25">
      <c r="A189" s="134"/>
      <c r="B189" s="135"/>
      <c r="C189" s="117"/>
      <c r="D189" s="117"/>
      <c r="E189" s="139"/>
      <c r="F189" s="133"/>
    </row>
    <row r="190" spans="1:6" ht="23.25">
      <c r="A190" s="134"/>
      <c r="B190" s="135"/>
      <c r="C190" s="117"/>
      <c r="D190" s="117"/>
      <c r="E190" s="139"/>
      <c r="F190" s="117"/>
    </row>
    <row r="191" spans="1:6" ht="24" thickBot="1">
      <c r="A191" s="140"/>
      <c r="B191" s="141"/>
      <c r="C191" s="119"/>
      <c r="D191" s="119"/>
      <c r="E191" s="142"/>
      <c r="F191" s="119"/>
    </row>
    <row r="192" spans="1:6" ht="24.75" thickBot="1" thickTop="1">
      <c r="A192" s="143"/>
      <c r="B192" s="144"/>
      <c r="C192" s="110"/>
      <c r="D192" s="110"/>
      <c r="E192" s="111">
        <f>SUM(E177:E179)</f>
        <v>0.2</v>
      </c>
      <c r="F192" s="112">
        <f>SUM(F184:F191)</f>
        <v>0.2</v>
      </c>
    </row>
    <row r="193" spans="1:6" ht="24" thickTop="1">
      <c r="A193" s="5"/>
      <c r="B193" s="5"/>
      <c r="C193" s="5"/>
      <c r="D193" s="5"/>
      <c r="E193" s="67"/>
      <c r="F193" s="5"/>
    </row>
    <row r="194" spans="1:6" ht="23.25">
      <c r="A194" s="113" t="s">
        <v>161</v>
      </c>
      <c r="B194" s="113"/>
      <c r="C194" s="3"/>
      <c r="D194" s="3"/>
      <c r="E194" s="66"/>
      <c r="F194" s="3"/>
    </row>
    <row r="195" spans="1:6" ht="23.25">
      <c r="A195" s="3"/>
      <c r="B195" s="3" t="s">
        <v>322</v>
      </c>
      <c r="C195" s="3"/>
      <c r="D195" s="3"/>
      <c r="E195" s="66"/>
      <c r="F195" s="3"/>
    </row>
    <row r="196" spans="1:6" ht="23.25">
      <c r="A196" s="3"/>
      <c r="B196" s="3"/>
      <c r="C196" s="3"/>
      <c r="D196" s="3"/>
      <c r="E196" s="66"/>
      <c r="F196" s="3"/>
    </row>
    <row r="197" spans="1:6" ht="23.25">
      <c r="A197" s="434" t="s">
        <v>78</v>
      </c>
      <c r="B197" s="427"/>
      <c r="C197" s="426" t="s">
        <v>162</v>
      </c>
      <c r="D197" s="427"/>
      <c r="E197" s="426" t="s">
        <v>265</v>
      </c>
      <c r="F197" s="427"/>
    </row>
    <row r="198" spans="1:6" ht="23.25">
      <c r="A198" s="16"/>
      <c r="B198" s="94"/>
      <c r="C198" s="96"/>
      <c r="D198" s="16"/>
      <c r="E198" s="96"/>
      <c r="F198" s="94"/>
    </row>
    <row r="199" spans="1:6" ht="23.25">
      <c r="A199" s="16"/>
      <c r="B199" s="94"/>
      <c r="C199" s="96"/>
      <c r="D199" s="16"/>
      <c r="E199" s="96"/>
      <c r="F199" s="94"/>
    </row>
    <row r="200" spans="1:6" ht="23.25">
      <c r="A200" s="16"/>
      <c r="B200" s="94" t="s">
        <v>266</v>
      </c>
      <c r="C200" s="431" t="s">
        <v>163</v>
      </c>
      <c r="D200" s="429"/>
      <c r="E200" s="431" t="s">
        <v>266</v>
      </c>
      <c r="F200" s="429"/>
    </row>
    <row r="201" spans="1:6" ht="23.25">
      <c r="A201" s="16"/>
      <c r="B201" s="94" t="s">
        <v>267</v>
      </c>
      <c r="C201" s="431" t="s">
        <v>164</v>
      </c>
      <c r="D201" s="429"/>
      <c r="E201" s="431" t="s">
        <v>267</v>
      </c>
      <c r="F201" s="429"/>
    </row>
    <row r="202" spans="1:6" ht="23.25">
      <c r="A202" s="7"/>
      <c r="B202" s="8"/>
      <c r="C202" s="145"/>
      <c r="D202" s="7"/>
      <c r="E202" s="146"/>
      <c r="F202" s="8"/>
    </row>
    <row r="205" spans="1:6" ht="23.25">
      <c r="A205" s="6" t="s">
        <v>222</v>
      </c>
      <c r="B205" s="6"/>
      <c r="C205" s="3"/>
      <c r="D205" s="3"/>
      <c r="E205" s="3" t="s">
        <v>204</v>
      </c>
      <c r="F205" s="3"/>
    </row>
    <row r="206" spans="1:6" ht="23.25">
      <c r="A206" s="3"/>
      <c r="B206" s="3"/>
      <c r="C206" s="3"/>
      <c r="D206" s="3"/>
      <c r="E206" s="3" t="s">
        <v>298</v>
      </c>
      <c r="F206" s="3"/>
    </row>
    <row r="207" spans="1:6" ht="23.25">
      <c r="A207" s="404" t="s">
        <v>200</v>
      </c>
      <c r="B207" s="404"/>
      <c r="C207" s="404"/>
      <c r="D207" s="404"/>
      <c r="E207" s="404"/>
      <c r="F207" s="404"/>
    </row>
    <row r="208" spans="1:6" ht="23.25">
      <c r="A208" s="3" t="s">
        <v>165</v>
      </c>
      <c r="B208" s="3"/>
      <c r="C208" s="3"/>
      <c r="D208" s="3"/>
      <c r="E208" s="66"/>
      <c r="F208" s="3"/>
    </row>
    <row r="209" spans="1:6" ht="23.25">
      <c r="A209" s="432" t="s">
        <v>5</v>
      </c>
      <c r="B209" s="433"/>
      <c r="C209" s="98" t="s">
        <v>54</v>
      </c>
      <c r="D209" s="98" t="s">
        <v>152</v>
      </c>
      <c r="E209" s="98" t="s">
        <v>55</v>
      </c>
      <c r="F209" s="98" t="s">
        <v>56</v>
      </c>
    </row>
    <row r="210" spans="1:6" ht="23.25">
      <c r="A210" s="208"/>
      <c r="B210" s="135"/>
      <c r="C210" s="83"/>
      <c r="D210" s="83"/>
      <c r="E210" s="132"/>
      <c r="F210" s="133"/>
    </row>
    <row r="211" spans="1:6" ht="23.25">
      <c r="A211" s="243" t="s">
        <v>324</v>
      </c>
      <c r="B211" s="135"/>
      <c r="C211" s="83" t="s">
        <v>137</v>
      </c>
      <c r="D211" s="83"/>
      <c r="E211" s="116">
        <v>9840</v>
      </c>
      <c r="F211" s="132"/>
    </row>
    <row r="212" spans="1:6" ht="23.25">
      <c r="A212" s="8"/>
      <c r="B212" s="135"/>
      <c r="C212" s="83"/>
      <c r="D212" s="83"/>
      <c r="E212" s="116"/>
      <c r="F212" s="132"/>
    </row>
    <row r="213" spans="1:6" ht="23.25">
      <c r="A213" s="208"/>
      <c r="B213" s="8"/>
      <c r="C213" s="83"/>
      <c r="D213" s="83"/>
      <c r="E213" s="118"/>
      <c r="F213" s="132"/>
    </row>
    <row r="214" spans="1:6" ht="23.25">
      <c r="A214" s="208"/>
      <c r="B214" s="8"/>
      <c r="C214" s="83"/>
      <c r="D214" s="83"/>
      <c r="E214" s="118"/>
      <c r="F214" s="132"/>
    </row>
    <row r="215" spans="1:6" ht="23.25">
      <c r="A215" s="136"/>
      <c r="B215" s="130"/>
      <c r="C215" s="98"/>
      <c r="D215" s="98"/>
      <c r="E215" s="98"/>
      <c r="F215" s="98"/>
    </row>
    <row r="216" spans="1:6" ht="23.25">
      <c r="A216" s="136"/>
      <c r="B216" s="130"/>
      <c r="C216" s="98"/>
      <c r="D216" s="98"/>
      <c r="E216" s="98"/>
      <c r="F216" s="98"/>
    </row>
    <row r="217" spans="1:6" ht="23.25">
      <c r="A217" s="208"/>
      <c r="B217" s="135"/>
      <c r="C217" s="117"/>
      <c r="D217" s="83"/>
      <c r="E217" s="132"/>
      <c r="F217" s="138"/>
    </row>
    <row r="218" spans="1:6" ht="23.25">
      <c r="A218" s="134"/>
      <c r="B218" s="243" t="s">
        <v>324</v>
      </c>
      <c r="C218" s="83" t="s">
        <v>137</v>
      </c>
      <c r="D218" s="83"/>
      <c r="E218" s="132"/>
      <c r="F218" s="116">
        <v>9840</v>
      </c>
    </row>
    <row r="219" spans="1:6" ht="23.25">
      <c r="A219" s="134"/>
      <c r="B219" s="135"/>
      <c r="C219" s="83"/>
      <c r="D219" s="83"/>
      <c r="E219" s="132"/>
      <c r="F219" s="116"/>
    </row>
    <row r="220" spans="1:6" ht="23.25">
      <c r="A220" s="134"/>
      <c r="B220" s="135"/>
      <c r="C220" s="83"/>
      <c r="D220" s="83"/>
      <c r="E220" s="132"/>
      <c r="F220" s="116"/>
    </row>
    <row r="221" spans="1:6" ht="23.25">
      <c r="A221" s="134"/>
      <c r="B221" s="135"/>
      <c r="C221" s="83"/>
      <c r="D221" s="83"/>
      <c r="E221" s="132"/>
      <c r="F221" s="138"/>
    </row>
    <row r="222" spans="1:6" ht="23.25">
      <c r="A222" s="134"/>
      <c r="B222" s="135"/>
      <c r="C222" s="117"/>
      <c r="D222" s="117"/>
      <c r="E222" s="139"/>
      <c r="F222" s="133"/>
    </row>
    <row r="223" spans="1:6" ht="23.25">
      <c r="A223" s="134"/>
      <c r="B223" s="135"/>
      <c r="C223" s="117"/>
      <c r="D223" s="117"/>
      <c r="E223" s="139"/>
      <c r="F223" s="117"/>
    </row>
    <row r="224" spans="1:6" ht="24" thickBot="1">
      <c r="A224" s="140"/>
      <c r="B224" s="141"/>
      <c r="C224" s="119"/>
      <c r="D224" s="119"/>
      <c r="E224" s="142"/>
      <c r="F224" s="119"/>
    </row>
    <row r="225" spans="1:6" ht="24.75" thickBot="1" thickTop="1">
      <c r="A225" s="143"/>
      <c r="B225" s="144"/>
      <c r="C225" s="110"/>
      <c r="D225" s="110"/>
      <c r="E225" s="111">
        <f>SUM(E210:E212)</f>
        <v>9840</v>
      </c>
      <c r="F225" s="112">
        <f>SUM(F217:F224)</f>
        <v>9840</v>
      </c>
    </row>
    <row r="226" spans="1:6" ht="24" thickTop="1">
      <c r="A226" s="5"/>
      <c r="B226" s="5"/>
      <c r="C226" s="5"/>
      <c r="D226" s="5"/>
      <c r="E226" s="67"/>
      <c r="F226" s="5"/>
    </row>
    <row r="227" spans="1:6" ht="23.25">
      <c r="A227" s="113" t="s">
        <v>161</v>
      </c>
      <c r="B227" s="113"/>
      <c r="C227" s="3"/>
      <c r="D227" s="3"/>
      <c r="E227" s="66"/>
      <c r="F227" s="3"/>
    </row>
    <row r="228" spans="1:6" ht="23.25">
      <c r="A228" s="3"/>
      <c r="B228" s="3" t="s">
        <v>325</v>
      </c>
      <c r="C228" s="3"/>
      <c r="D228" s="3"/>
      <c r="E228" s="66"/>
      <c r="F228" s="3"/>
    </row>
    <row r="229" spans="1:6" ht="23.25">
      <c r="A229" s="3"/>
      <c r="B229" s="3"/>
      <c r="C229" s="3"/>
      <c r="D229" s="3"/>
      <c r="E229" s="66"/>
      <c r="F229" s="3"/>
    </row>
    <row r="230" spans="1:6" ht="23.25">
      <c r="A230" s="434" t="s">
        <v>78</v>
      </c>
      <c r="B230" s="427"/>
      <c r="C230" s="426" t="s">
        <v>162</v>
      </c>
      <c r="D230" s="427"/>
      <c r="E230" s="426" t="s">
        <v>265</v>
      </c>
      <c r="F230" s="427"/>
    </row>
    <row r="231" spans="1:6" ht="23.25">
      <c r="A231" s="16"/>
      <c r="B231" s="94"/>
      <c r="C231" s="96"/>
      <c r="D231" s="16"/>
      <c r="E231" s="96"/>
      <c r="F231" s="94"/>
    </row>
    <row r="232" spans="1:6" ht="23.25">
      <c r="A232" s="16"/>
      <c r="B232" s="94"/>
      <c r="C232" s="96"/>
      <c r="D232" s="16"/>
      <c r="E232" s="96"/>
      <c r="F232" s="94"/>
    </row>
    <row r="233" spans="1:6" ht="23.25">
      <c r="A233" s="16"/>
      <c r="B233" s="94" t="s">
        <v>266</v>
      </c>
      <c r="C233" s="431" t="s">
        <v>163</v>
      </c>
      <c r="D233" s="429"/>
      <c r="E233" s="431" t="s">
        <v>266</v>
      </c>
      <c r="F233" s="429"/>
    </row>
    <row r="234" spans="1:6" ht="23.25">
      <c r="A234" s="16"/>
      <c r="B234" s="94" t="s">
        <v>267</v>
      </c>
      <c r="C234" s="431" t="s">
        <v>164</v>
      </c>
      <c r="D234" s="429"/>
      <c r="E234" s="431" t="s">
        <v>267</v>
      </c>
      <c r="F234" s="429"/>
    </row>
    <row r="235" spans="1:6" ht="23.25">
      <c r="A235" s="7"/>
      <c r="B235" s="8"/>
      <c r="C235" s="145"/>
      <c r="D235" s="7"/>
      <c r="E235" s="146"/>
      <c r="F235" s="8"/>
    </row>
    <row r="238" spans="1:6" ht="23.25">
      <c r="A238" s="6" t="s">
        <v>222</v>
      </c>
      <c r="B238" s="6"/>
      <c r="C238" s="3"/>
      <c r="D238" s="3"/>
      <c r="E238" s="3" t="s">
        <v>204</v>
      </c>
      <c r="F238" s="3"/>
    </row>
    <row r="239" spans="1:6" ht="23.25">
      <c r="A239" s="3"/>
      <c r="B239" s="3"/>
      <c r="C239" s="3"/>
      <c r="D239" s="3"/>
      <c r="E239" s="3" t="s">
        <v>298</v>
      </c>
      <c r="F239" s="3"/>
    </row>
    <row r="240" spans="1:6" ht="23.25">
      <c r="A240" s="404" t="s">
        <v>200</v>
      </c>
      <c r="B240" s="404"/>
      <c r="C240" s="404"/>
      <c r="D240" s="404"/>
      <c r="E240" s="404"/>
      <c r="F240" s="404"/>
    </row>
    <row r="241" spans="1:6" ht="23.25">
      <c r="A241" s="3" t="s">
        <v>165</v>
      </c>
      <c r="B241" s="3"/>
      <c r="C241" s="3"/>
      <c r="D241" s="3"/>
      <c r="E241" s="66"/>
      <c r="F241" s="3"/>
    </row>
    <row r="242" spans="1:6" ht="23.25">
      <c r="A242" s="432" t="s">
        <v>5</v>
      </c>
      <c r="B242" s="433"/>
      <c r="C242" s="98" t="s">
        <v>54</v>
      </c>
      <c r="D242" s="98" t="s">
        <v>152</v>
      </c>
      <c r="E242" s="98" t="s">
        <v>55</v>
      </c>
      <c r="F242" s="98" t="s">
        <v>56</v>
      </c>
    </row>
    <row r="243" spans="1:6" ht="23.25">
      <c r="A243" s="208"/>
      <c r="B243" s="135"/>
      <c r="C243" s="83"/>
      <c r="D243" s="83"/>
      <c r="E243" s="132"/>
      <c r="F243" s="133"/>
    </row>
    <row r="244" spans="1:6" ht="23.25">
      <c r="A244" s="135" t="s">
        <v>326</v>
      </c>
      <c r="B244" s="135"/>
      <c r="C244" s="83" t="s">
        <v>316</v>
      </c>
      <c r="D244" s="83"/>
      <c r="E244" s="116">
        <v>57000</v>
      </c>
      <c r="F244" s="132"/>
    </row>
    <row r="245" spans="1:6" ht="23.25">
      <c r="A245" s="8"/>
      <c r="B245" s="135"/>
      <c r="C245" s="83"/>
      <c r="D245" s="83"/>
      <c r="E245" s="116"/>
      <c r="F245" s="132"/>
    </row>
    <row r="246" spans="1:6" ht="23.25">
      <c r="A246" s="208"/>
      <c r="B246" s="8"/>
      <c r="C246" s="83"/>
      <c r="D246" s="83"/>
      <c r="E246" s="118"/>
      <c r="F246" s="132"/>
    </row>
    <row r="247" spans="1:6" ht="23.25">
      <c r="A247" s="208"/>
      <c r="B247" s="8"/>
      <c r="C247" s="83"/>
      <c r="D247" s="83"/>
      <c r="E247" s="118"/>
      <c r="F247" s="132"/>
    </row>
    <row r="248" spans="1:6" ht="23.25">
      <c r="A248" s="136"/>
      <c r="B248" s="130"/>
      <c r="C248" s="98"/>
      <c r="D248" s="98"/>
      <c r="E248" s="98"/>
      <c r="F248" s="98"/>
    </row>
    <row r="249" spans="1:6" ht="23.25">
      <c r="A249" s="136"/>
      <c r="B249" s="130"/>
      <c r="C249" s="98"/>
      <c r="D249" s="98"/>
      <c r="E249" s="98"/>
      <c r="F249" s="98"/>
    </row>
    <row r="250" spans="1:6" ht="23.25">
      <c r="A250" s="208"/>
      <c r="B250" s="135"/>
      <c r="C250" s="117"/>
      <c r="D250" s="83"/>
      <c r="E250" s="132"/>
      <c r="F250" s="138"/>
    </row>
    <row r="251" spans="1:6" ht="23.25">
      <c r="A251" s="134"/>
      <c r="B251" s="135" t="s">
        <v>327</v>
      </c>
      <c r="C251" s="8"/>
      <c r="D251" s="83"/>
      <c r="E251" s="132"/>
      <c r="F251" s="305">
        <v>57000</v>
      </c>
    </row>
    <row r="252" spans="1:6" ht="23.25">
      <c r="A252" s="134"/>
      <c r="B252" s="135"/>
      <c r="C252" s="83"/>
      <c r="D252" s="83"/>
      <c r="E252" s="132"/>
      <c r="F252" s="116"/>
    </row>
    <row r="253" spans="1:6" ht="23.25">
      <c r="A253" s="134"/>
      <c r="B253" s="135"/>
      <c r="C253" s="83"/>
      <c r="D253" s="83"/>
      <c r="E253" s="132"/>
      <c r="F253" s="116"/>
    </row>
    <row r="254" spans="1:6" ht="23.25">
      <c r="A254" s="134"/>
      <c r="B254" s="135"/>
      <c r="C254" s="83"/>
      <c r="D254" s="83"/>
      <c r="E254" s="132"/>
      <c r="F254" s="138"/>
    </row>
    <row r="255" spans="1:6" ht="23.25">
      <c r="A255" s="134"/>
      <c r="B255" s="135"/>
      <c r="C255" s="117"/>
      <c r="D255" s="117"/>
      <c r="E255" s="139"/>
      <c r="F255" s="133"/>
    </row>
    <row r="256" spans="1:6" ht="23.25">
      <c r="A256" s="134"/>
      <c r="B256" s="135"/>
      <c r="C256" s="117"/>
      <c r="D256" s="117"/>
      <c r="E256" s="139"/>
      <c r="F256" s="117"/>
    </row>
    <row r="257" spans="1:6" ht="24" thickBot="1">
      <c r="A257" s="140"/>
      <c r="B257" s="141"/>
      <c r="C257" s="119"/>
      <c r="D257" s="119"/>
      <c r="E257" s="142"/>
      <c r="F257" s="119"/>
    </row>
    <row r="258" spans="1:6" ht="24.75" thickBot="1" thickTop="1">
      <c r="A258" s="143"/>
      <c r="B258" s="144"/>
      <c r="C258" s="110"/>
      <c r="D258" s="110"/>
      <c r="E258" s="111">
        <f>SUM(E243:E245)</f>
        <v>57000</v>
      </c>
      <c r="F258" s="112">
        <f>SUM(F250:F257)</f>
        <v>57000</v>
      </c>
    </row>
    <row r="259" spans="1:6" ht="24" thickTop="1">
      <c r="A259" s="5"/>
      <c r="B259" s="5"/>
      <c r="C259" s="5"/>
      <c r="D259" s="5"/>
      <c r="E259" s="67"/>
      <c r="F259" s="5"/>
    </row>
    <row r="260" spans="1:6" ht="23.25">
      <c r="A260" s="113" t="s">
        <v>161</v>
      </c>
      <c r="B260" s="113"/>
      <c r="C260" s="3"/>
      <c r="D260" s="3"/>
      <c r="E260" s="66"/>
      <c r="F260" s="3"/>
    </row>
    <row r="261" spans="1:6" ht="23.25">
      <c r="A261" s="3"/>
      <c r="B261" s="3" t="s">
        <v>328</v>
      </c>
      <c r="C261" s="3"/>
      <c r="D261" s="3"/>
      <c r="E261" s="66"/>
      <c r="F261" s="3"/>
    </row>
    <row r="262" spans="1:6" ht="23.25">
      <c r="A262" s="3"/>
      <c r="B262" s="3"/>
      <c r="C262" s="3"/>
      <c r="D262" s="3"/>
      <c r="E262" s="66"/>
      <c r="F262" s="3"/>
    </row>
    <row r="263" spans="1:6" ht="23.25">
      <c r="A263" s="434" t="s">
        <v>78</v>
      </c>
      <c r="B263" s="427"/>
      <c r="C263" s="426" t="s">
        <v>162</v>
      </c>
      <c r="D263" s="427"/>
      <c r="E263" s="426" t="s">
        <v>265</v>
      </c>
      <c r="F263" s="427"/>
    </row>
    <row r="264" spans="1:6" ht="23.25">
      <c r="A264" s="16"/>
      <c r="B264" s="94"/>
      <c r="C264" s="96"/>
      <c r="D264" s="16"/>
      <c r="E264" s="96"/>
      <c r="F264" s="94"/>
    </row>
    <row r="265" spans="1:6" ht="23.25">
      <c r="A265" s="16"/>
      <c r="B265" s="94"/>
      <c r="C265" s="96"/>
      <c r="D265" s="16"/>
      <c r="E265" s="96"/>
      <c r="F265" s="94"/>
    </row>
    <row r="266" spans="1:6" ht="23.25">
      <c r="A266" s="16"/>
      <c r="B266" s="94" t="s">
        <v>266</v>
      </c>
      <c r="C266" s="431" t="s">
        <v>163</v>
      </c>
      <c r="D266" s="429"/>
      <c r="E266" s="431" t="s">
        <v>266</v>
      </c>
      <c r="F266" s="429"/>
    </row>
    <row r="267" spans="1:6" ht="23.25">
      <c r="A267" s="16"/>
      <c r="B267" s="94" t="s">
        <v>267</v>
      </c>
      <c r="C267" s="431" t="s">
        <v>164</v>
      </c>
      <c r="D267" s="429"/>
      <c r="E267" s="431" t="s">
        <v>267</v>
      </c>
      <c r="F267" s="429"/>
    </row>
    <row r="268" spans="1:6" ht="23.25">
      <c r="A268" s="7"/>
      <c r="B268" s="8"/>
      <c r="C268" s="145"/>
      <c r="D268" s="7"/>
      <c r="E268" s="146"/>
      <c r="F268" s="8"/>
    </row>
  </sheetData>
  <sheetProtection/>
  <mergeCells count="72">
    <mergeCell ref="C98:D98"/>
    <mergeCell ref="E98:F98"/>
    <mergeCell ref="A70:F70"/>
    <mergeCell ref="A72:B72"/>
    <mergeCell ref="A94:B94"/>
    <mergeCell ref="C94:D94"/>
    <mergeCell ref="E94:F94"/>
    <mergeCell ref="C97:D97"/>
    <mergeCell ref="E97:F97"/>
    <mergeCell ref="C31:D31"/>
    <mergeCell ref="E31:F31"/>
    <mergeCell ref="A3:F3"/>
    <mergeCell ref="A5:B5"/>
    <mergeCell ref="A27:B27"/>
    <mergeCell ref="C27:D27"/>
    <mergeCell ref="E27:F27"/>
    <mergeCell ref="C30:D30"/>
    <mergeCell ref="E30:F30"/>
    <mergeCell ref="C64:D64"/>
    <mergeCell ref="E64:F64"/>
    <mergeCell ref="A36:F36"/>
    <mergeCell ref="A38:B38"/>
    <mergeCell ref="A60:B60"/>
    <mergeCell ref="C60:D60"/>
    <mergeCell ref="E60:F60"/>
    <mergeCell ref="C63:D63"/>
    <mergeCell ref="E63:F63"/>
    <mergeCell ref="C132:D132"/>
    <mergeCell ref="E132:F132"/>
    <mergeCell ref="A104:F104"/>
    <mergeCell ref="A106:B106"/>
    <mergeCell ref="A128:B128"/>
    <mergeCell ref="C128:D128"/>
    <mergeCell ref="E128:F128"/>
    <mergeCell ref="C131:D131"/>
    <mergeCell ref="E131:F131"/>
    <mergeCell ref="E197:F197"/>
    <mergeCell ref="A139:F139"/>
    <mergeCell ref="A141:B141"/>
    <mergeCell ref="A162:B162"/>
    <mergeCell ref="C162:D162"/>
    <mergeCell ref="E162:F162"/>
    <mergeCell ref="C165:D165"/>
    <mergeCell ref="E165:F165"/>
    <mergeCell ref="C200:D200"/>
    <mergeCell ref="E200:F200"/>
    <mergeCell ref="C201:D201"/>
    <mergeCell ref="E201:F201"/>
    <mergeCell ref="C166:D166"/>
    <mergeCell ref="E166:F166"/>
    <mergeCell ref="A174:F174"/>
    <mergeCell ref="A176:B176"/>
    <mergeCell ref="A197:B197"/>
    <mergeCell ref="C197:D197"/>
    <mergeCell ref="E263:F263"/>
    <mergeCell ref="A207:F207"/>
    <mergeCell ref="A209:B209"/>
    <mergeCell ref="A230:B230"/>
    <mergeCell ref="C230:D230"/>
    <mergeCell ref="E230:F230"/>
    <mergeCell ref="C233:D233"/>
    <mergeCell ref="E233:F233"/>
    <mergeCell ref="C266:D266"/>
    <mergeCell ref="E266:F266"/>
    <mergeCell ref="C267:D267"/>
    <mergeCell ref="E267:F267"/>
    <mergeCell ref="C234:D234"/>
    <mergeCell ref="E234:F234"/>
    <mergeCell ref="A240:F240"/>
    <mergeCell ref="A242:B242"/>
    <mergeCell ref="A263:B263"/>
    <mergeCell ref="C263:D263"/>
  </mergeCells>
  <printOptions/>
  <pageMargins left="0.28" right="0.17" top="0.36" bottom="0.78" header="0.3" footer="0.8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3">
      <selection activeCell="F24" sqref="F24"/>
    </sheetView>
  </sheetViews>
  <sheetFormatPr defaultColWidth="9.140625" defaultRowHeight="21.75"/>
  <cols>
    <col min="1" max="1" width="5.00390625" style="0" customWidth="1"/>
    <col min="2" max="2" width="13.28125" style="0" customWidth="1"/>
    <col min="3" max="3" width="12.28125" style="0" customWidth="1"/>
    <col min="4" max="4" width="13.140625" style="0" customWidth="1"/>
    <col min="5" max="5" width="12.57421875" style="0" customWidth="1"/>
    <col min="6" max="7" width="14.00390625" style="0" customWidth="1"/>
    <col min="8" max="8" width="13.00390625" style="0" customWidth="1"/>
    <col min="9" max="9" width="11.421875" style="0" customWidth="1"/>
    <col min="10" max="10" width="14.00390625" style="0" customWidth="1"/>
    <col min="11" max="11" width="11.7109375" style="0" customWidth="1"/>
    <col min="12" max="12" width="7.7109375" style="0" customWidth="1"/>
    <col min="13" max="13" width="13.00390625" style="0" customWidth="1"/>
  </cols>
  <sheetData>
    <row r="1" spans="1:13" ht="21.75">
      <c r="A1" s="436" t="s">
        <v>288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ht="21.75">
      <c r="A2" s="435" t="s">
        <v>211</v>
      </c>
      <c r="B2" s="435" t="s">
        <v>212</v>
      </c>
      <c r="C2" s="435"/>
      <c r="D2" s="435"/>
      <c r="E2" s="435"/>
      <c r="F2" s="435" t="s">
        <v>56</v>
      </c>
      <c r="G2" s="435"/>
      <c r="H2" s="435"/>
      <c r="I2" s="435"/>
      <c r="J2" s="435"/>
      <c r="K2" s="435"/>
      <c r="L2" s="435" t="s">
        <v>218</v>
      </c>
      <c r="M2" s="435"/>
    </row>
    <row r="3" spans="1:13" ht="21.75">
      <c r="A3" s="435"/>
      <c r="B3" s="195" t="s">
        <v>57</v>
      </c>
      <c r="C3" s="195" t="s">
        <v>213</v>
      </c>
      <c r="D3" s="199" t="s">
        <v>236</v>
      </c>
      <c r="E3" s="195" t="s">
        <v>214</v>
      </c>
      <c r="F3" s="195" t="s">
        <v>173</v>
      </c>
      <c r="G3" s="195" t="s">
        <v>215</v>
      </c>
      <c r="H3" s="195" t="s">
        <v>216</v>
      </c>
      <c r="I3" s="199" t="s">
        <v>256</v>
      </c>
      <c r="J3" s="195" t="s">
        <v>217</v>
      </c>
      <c r="K3" s="195" t="s">
        <v>57</v>
      </c>
      <c r="L3" s="196"/>
      <c r="M3" s="196"/>
    </row>
    <row r="4" spans="1:13" ht="21.75">
      <c r="A4" s="197">
        <v>1</v>
      </c>
      <c r="B4" s="201">
        <v>4325</v>
      </c>
      <c r="C4" s="201"/>
      <c r="D4" s="201"/>
      <c r="E4" s="201"/>
      <c r="F4" s="201"/>
      <c r="G4" s="201"/>
      <c r="H4" s="201"/>
      <c r="I4" s="201"/>
      <c r="J4" s="201">
        <v>4325</v>
      </c>
      <c r="K4" s="201"/>
      <c r="L4" s="197"/>
      <c r="M4" s="197"/>
    </row>
    <row r="5" spans="1:13" ht="21.75">
      <c r="A5" s="198">
        <v>13</v>
      </c>
      <c r="B5" s="202">
        <v>500</v>
      </c>
      <c r="C5" s="202"/>
      <c r="D5" s="202"/>
      <c r="E5" s="202"/>
      <c r="F5" s="202"/>
      <c r="G5" s="202"/>
      <c r="H5" s="202"/>
      <c r="I5" s="202"/>
      <c r="J5" s="202"/>
      <c r="K5" s="202"/>
      <c r="L5" s="299" t="s">
        <v>233</v>
      </c>
      <c r="M5" s="198">
        <v>500</v>
      </c>
    </row>
    <row r="6" spans="1:13" ht="21.75">
      <c r="A6" s="198">
        <v>14</v>
      </c>
      <c r="B6" s="202"/>
      <c r="C6" s="202">
        <v>4825</v>
      </c>
      <c r="D6" s="202"/>
      <c r="E6" s="202"/>
      <c r="F6" s="202"/>
      <c r="G6" s="202"/>
      <c r="H6" s="202"/>
      <c r="I6" s="202"/>
      <c r="J6" s="202"/>
      <c r="K6" s="202">
        <v>4825</v>
      </c>
      <c r="L6" s="198"/>
      <c r="M6" s="198"/>
    </row>
    <row r="7" spans="1:13" ht="21.75">
      <c r="A7" s="198">
        <v>15</v>
      </c>
      <c r="B7" s="202">
        <v>576</v>
      </c>
      <c r="C7" s="202"/>
      <c r="D7" s="202"/>
      <c r="E7" s="202"/>
      <c r="F7" s="202">
        <v>360</v>
      </c>
      <c r="G7" s="202"/>
      <c r="H7" s="202"/>
      <c r="I7" s="202"/>
      <c r="J7" s="202"/>
      <c r="K7" s="202"/>
      <c r="L7" s="297">
        <v>821</v>
      </c>
      <c r="M7" s="198">
        <v>216</v>
      </c>
    </row>
    <row r="8" spans="1:14" ht="21.75">
      <c r="A8" s="198">
        <v>16</v>
      </c>
      <c r="B8" s="202"/>
      <c r="C8" s="202"/>
      <c r="D8" s="202"/>
      <c r="E8" s="202">
        <v>223097.88</v>
      </c>
      <c r="F8" s="202">
        <v>223097.88</v>
      </c>
      <c r="G8" s="202"/>
      <c r="H8" s="202"/>
      <c r="I8" s="202"/>
      <c r="J8" s="202"/>
      <c r="K8" s="202"/>
      <c r="L8" s="198"/>
      <c r="M8" s="198"/>
      <c r="N8" s="256"/>
    </row>
    <row r="9" spans="1:14" ht="21.75">
      <c r="A9" s="198">
        <v>23</v>
      </c>
      <c r="B9" s="202">
        <v>3450</v>
      </c>
      <c r="C9" s="202"/>
      <c r="D9" s="202"/>
      <c r="E9" s="202"/>
      <c r="F9" s="202"/>
      <c r="G9" s="202"/>
      <c r="H9" s="202"/>
      <c r="I9" s="202"/>
      <c r="J9" s="202">
        <v>3450</v>
      </c>
      <c r="K9" s="202"/>
      <c r="L9" s="198"/>
      <c r="M9" s="198"/>
      <c r="N9" s="256"/>
    </row>
    <row r="10" spans="1:13" ht="21.75">
      <c r="A10" s="198">
        <v>26</v>
      </c>
      <c r="B10" s="202">
        <v>12000</v>
      </c>
      <c r="C10" s="202"/>
      <c r="D10" s="202"/>
      <c r="E10" s="202"/>
      <c r="F10" s="202">
        <v>12000</v>
      </c>
      <c r="G10" s="202"/>
      <c r="H10" s="202"/>
      <c r="I10" s="202"/>
      <c r="J10" s="202"/>
      <c r="K10" s="202"/>
      <c r="L10" s="198"/>
      <c r="M10" s="198"/>
    </row>
    <row r="11" spans="1:13" ht="21.75">
      <c r="A11" s="198">
        <v>27</v>
      </c>
      <c r="B11" s="202">
        <v>13178</v>
      </c>
      <c r="C11" s="202"/>
      <c r="D11" s="202"/>
      <c r="E11" s="202"/>
      <c r="F11" s="202">
        <v>128</v>
      </c>
      <c r="G11" s="202"/>
      <c r="H11" s="202"/>
      <c r="I11" s="202"/>
      <c r="J11" s="202">
        <v>13050</v>
      </c>
      <c r="K11" s="202"/>
      <c r="L11" s="198"/>
      <c r="M11" s="198"/>
    </row>
    <row r="12" spans="1:13" ht="21.75">
      <c r="A12" s="198">
        <v>0</v>
      </c>
      <c r="B12" s="202"/>
      <c r="C12" s="202">
        <v>16026</v>
      </c>
      <c r="D12" s="202"/>
      <c r="E12" s="202"/>
      <c r="F12" s="202"/>
      <c r="G12" s="202"/>
      <c r="H12" s="202"/>
      <c r="I12" s="202"/>
      <c r="J12" s="202"/>
      <c r="K12" s="202">
        <v>16026</v>
      </c>
      <c r="L12" s="299"/>
      <c r="M12" s="202"/>
    </row>
    <row r="13" spans="1:15" ht="21.75">
      <c r="A13" s="198">
        <v>28</v>
      </c>
      <c r="B13" s="202"/>
      <c r="C13" s="202"/>
      <c r="D13" s="202"/>
      <c r="E13" s="202">
        <v>307060.48</v>
      </c>
      <c r="F13" s="202">
        <v>307060.48</v>
      </c>
      <c r="G13" s="202"/>
      <c r="H13" s="202"/>
      <c r="I13" s="202"/>
      <c r="J13" s="202"/>
      <c r="K13" s="202"/>
      <c r="L13" s="299"/>
      <c r="M13" s="202"/>
      <c r="O13" s="213"/>
    </row>
    <row r="14" spans="1:15" ht="21.75">
      <c r="A14" s="198">
        <v>29</v>
      </c>
      <c r="B14" s="202">
        <v>30975</v>
      </c>
      <c r="C14" s="202"/>
      <c r="D14" s="202"/>
      <c r="E14" s="215"/>
      <c r="F14" s="202"/>
      <c r="G14" s="202"/>
      <c r="H14" s="202"/>
      <c r="I14" s="202"/>
      <c r="J14" s="202">
        <v>30975</v>
      </c>
      <c r="K14" s="202"/>
      <c r="L14" s="299"/>
      <c r="M14" s="202"/>
      <c r="O14" s="213"/>
    </row>
    <row r="15" spans="1:13" ht="21.75">
      <c r="A15" s="198"/>
      <c r="B15" s="202"/>
      <c r="C15" s="202">
        <v>21078</v>
      </c>
      <c r="D15" s="202"/>
      <c r="E15" s="215"/>
      <c r="F15" s="202"/>
      <c r="G15" s="202"/>
      <c r="H15" s="202"/>
      <c r="I15" s="202"/>
      <c r="J15" s="202"/>
      <c r="K15" s="202">
        <v>21078</v>
      </c>
      <c r="L15" s="198"/>
      <c r="M15" s="202"/>
    </row>
    <row r="16" spans="1:13" ht="21.75">
      <c r="A16" s="198">
        <v>30</v>
      </c>
      <c r="B16" s="202">
        <v>140</v>
      </c>
      <c r="C16" s="202">
        <v>23075</v>
      </c>
      <c r="D16" s="202"/>
      <c r="E16" s="215">
        <v>449943.27</v>
      </c>
      <c r="F16" s="202">
        <v>487023.6</v>
      </c>
      <c r="G16" s="202"/>
      <c r="H16" s="202"/>
      <c r="I16" s="202"/>
      <c r="J16" s="202"/>
      <c r="K16" s="202">
        <v>23075</v>
      </c>
      <c r="L16" s="198"/>
      <c r="M16" s="202"/>
    </row>
    <row r="17" spans="1:13" ht="21.75">
      <c r="A17" s="198"/>
      <c r="B17" s="202"/>
      <c r="C17" s="202">
        <v>31579.77</v>
      </c>
      <c r="D17" s="202">
        <v>231.12</v>
      </c>
      <c r="E17" s="215"/>
      <c r="F17" s="215"/>
      <c r="G17" s="202"/>
      <c r="H17" s="202"/>
      <c r="I17" s="202">
        <v>231.12</v>
      </c>
      <c r="J17" s="202"/>
      <c r="K17" s="202"/>
      <c r="L17" s="198">
        <v>22</v>
      </c>
      <c r="M17" s="202">
        <v>5360.56</v>
      </c>
    </row>
    <row r="18" spans="1:13" ht="21.75">
      <c r="A18" s="209"/>
      <c r="B18" s="214"/>
      <c r="C18" s="214"/>
      <c r="D18" s="214"/>
      <c r="E18" s="214"/>
      <c r="F18" s="214"/>
      <c r="G18" s="216"/>
      <c r="H18" s="214"/>
      <c r="I18" s="214"/>
      <c r="J18" s="214"/>
      <c r="K18" s="214"/>
      <c r="L18" s="209"/>
      <c r="M18" s="214"/>
    </row>
    <row r="19" spans="1:13" ht="21.75">
      <c r="A19" s="209"/>
      <c r="B19" s="214"/>
      <c r="C19" s="214"/>
      <c r="D19" s="214"/>
      <c r="E19" s="214"/>
      <c r="F19" s="214"/>
      <c r="G19" s="216"/>
      <c r="H19" s="214"/>
      <c r="I19" s="214"/>
      <c r="J19" s="214"/>
      <c r="K19" s="214"/>
      <c r="L19" s="209"/>
      <c r="M19" s="214"/>
    </row>
    <row r="20" spans="1:13" ht="21.75">
      <c r="A20" s="209"/>
      <c r="B20" s="214"/>
      <c r="C20" s="214"/>
      <c r="D20" s="214"/>
      <c r="E20" s="214"/>
      <c r="F20" s="214"/>
      <c r="G20" s="216"/>
      <c r="H20" s="214"/>
      <c r="I20" s="214"/>
      <c r="J20" s="214"/>
      <c r="K20" s="214"/>
      <c r="L20" s="209"/>
      <c r="M20" s="209"/>
    </row>
    <row r="21" spans="1:13" ht="21.75">
      <c r="A21" s="209"/>
      <c r="B21" s="214">
        <f>SUM(F21:H21)</f>
        <v>0</v>
      </c>
      <c r="C21" s="214"/>
      <c r="D21" s="214"/>
      <c r="E21" s="214"/>
      <c r="F21" s="214"/>
      <c r="G21" s="216"/>
      <c r="H21" s="214"/>
      <c r="I21" s="214"/>
      <c r="J21" s="214"/>
      <c r="K21" s="214"/>
      <c r="L21" s="209"/>
      <c r="M21" s="209"/>
    </row>
    <row r="22" spans="1:13" ht="21.75">
      <c r="A22" s="209"/>
      <c r="B22" s="214"/>
      <c r="C22" s="214"/>
      <c r="D22" s="214"/>
      <c r="E22" s="214"/>
      <c r="F22" s="214"/>
      <c r="G22" s="216"/>
      <c r="H22" s="214"/>
      <c r="I22" s="214"/>
      <c r="J22" s="214"/>
      <c r="K22" s="214"/>
      <c r="L22" s="209"/>
      <c r="M22" s="209"/>
    </row>
    <row r="23" spans="1:13" ht="21.75">
      <c r="A23" s="209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09"/>
      <c r="M23" s="209"/>
    </row>
    <row r="24" spans="1:13" s="212" customFormat="1" ht="37.5" customHeight="1" thickBot="1">
      <c r="A24" s="210" t="s">
        <v>224</v>
      </c>
      <c r="B24" s="211">
        <f>SUM(B4:B20)</f>
        <v>65144</v>
      </c>
      <c r="C24" s="211">
        <f>SUM(C5:C17)</f>
        <v>96583.77</v>
      </c>
      <c r="D24" s="211">
        <f aca="true" t="shared" si="0" ref="D24:K24">SUM(D4:D23)</f>
        <v>231.12</v>
      </c>
      <c r="E24" s="211">
        <f t="shared" si="0"/>
        <v>980101.63</v>
      </c>
      <c r="F24" s="211">
        <f>SUM(F4:F17)</f>
        <v>1029669.96</v>
      </c>
      <c r="G24" s="211">
        <f t="shared" si="0"/>
        <v>0</v>
      </c>
      <c r="H24" s="211">
        <f t="shared" si="0"/>
        <v>0</v>
      </c>
      <c r="I24" s="211">
        <f t="shared" si="0"/>
        <v>231.12</v>
      </c>
      <c r="J24" s="211">
        <f t="shared" si="0"/>
        <v>51800</v>
      </c>
      <c r="K24" s="211">
        <f t="shared" si="0"/>
        <v>65004</v>
      </c>
      <c r="L24" s="211"/>
      <c r="M24" s="211">
        <f>SUM(M4:M17)</f>
        <v>6076.56</v>
      </c>
    </row>
    <row r="25" ht="22.5" thickTop="1">
      <c r="E25" s="217"/>
    </row>
    <row r="26" spans="3:9" ht="21.75">
      <c r="C26" s="213"/>
      <c r="D26" s="213"/>
      <c r="G26" s="213"/>
      <c r="H26" s="213"/>
      <c r="I26" s="213"/>
    </row>
    <row r="27" spans="5:8" ht="21.75">
      <c r="E27" s="213"/>
      <c r="F27" s="213"/>
      <c r="G27" s="213"/>
      <c r="H27" s="213"/>
    </row>
    <row r="28" spans="6:7" ht="21.75">
      <c r="F28" s="213"/>
      <c r="G28" s="213"/>
    </row>
    <row r="29" spans="3:7" ht="21.75">
      <c r="C29" s="213"/>
      <c r="G29" s="213"/>
    </row>
    <row r="30" spans="7:8" ht="21.75">
      <c r="G30" s="217"/>
      <c r="H30" s="213">
        <f>SUM(I26-F27)</f>
        <v>0</v>
      </c>
    </row>
    <row r="31" spans="6:10" ht="21.75">
      <c r="F31" s="217"/>
      <c r="H31" s="217"/>
      <c r="J31" s="217"/>
    </row>
    <row r="32" spans="6:13" ht="21.75">
      <c r="F32" s="217"/>
      <c r="H32" s="217"/>
      <c r="M32" s="217"/>
    </row>
    <row r="33" spans="6:13" ht="23.25">
      <c r="F33" s="294"/>
      <c r="H33" s="217"/>
      <c r="J33" s="217"/>
      <c r="M33" s="217"/>
    </row>
    <row r="34" spans="6:13" ht="23.25">
      <c r="F34" s="217"/>
      <c r="H34" s="217">
        <f>SUM(H31:H33)</f>
        <v>0</v>
      </c>
      <c r="J34" s="217"/>
      <c r="M34" s="294"/>
    </row>
    <row r="35" spans="6:10" ht="21.75">
      <c r="F35" s="217"/>
      <c r="G35" s="213"/>
      <c r="H35" s="217"/>
      <c r="J35" s="213"/>
    </row>
    <row r="36" spans="4:13" ht="21.75">
      <c r="D36" s="217"/>
      <c r="F36" s="213"/>
      <c r="G36" s="217"/>
      <c r="H36" s="213"/>
      <c r="J36" s="213">
        <f>SUM(J31-J35)</f>
        <v>0</v>
      </c>
      <c r="M36" s="213"/>
    </row>
    <row r="37" spans="4:11" ht="23.25">
      <c r="D37" s="213"/>
      <c r="F37" s="213">
        <f>SUM(F34-F35)</f>
        <v>0</v>
      </c>
      <c r="G37" s="296"/>
      <c r="H37" s="213">
        <f>SUM(H34-H35)</f>
        <v>0</v>
      </c>
      <c r="J37" s="213">
        <f>SUM(J34)</f>
        <v>0</v>
      </c>
      <c r="K37" s="217"/>
    </row>
    <row r="38" ht="21.75">
      <c r="J38" s="213"/>
    </row>
    <row r="39" ht="21.75">
      <c r="G39" s="213"/>
    </row>
  </sheetData>
  <sheetProtection/>
  <mergeCells count="5">
    <mergeCell ref="B2:E2"/>
    <mergeCell ref="F2:K2"/>
    <mergeCell ref="A2:A3"/>
    <mergeCell ref="A1:M1"/>
    <mergeCell ref="L2:M2"/>
  </mergeCells>
  <printOptions/>
  <pageMargins left="0.22" right="0.29" top="0.2" bottom="0.15" header="0.16" footer="0.1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G40">
      <selection activeCell="L49" sqref="L49"/>
    </sheetView>
  </sheetViews>
  <sheetFormatPr defaultColWidth="9.140625" defaultRowHeight="21.75"/>
  <cols>
    <col min="1" max="1" width="5.7109375" style="0" customWidth="1"/>
    <col min="2" max="2" width="13.57421875" style="0" customWidth="1"/>
    <col min="3" max="3" width="13.28125" style="217" customWidth="1"/>
    <col min="4" max="4" width="13.7109375" style="217" customWidth="1"/>
    <col min="5" max="5" width="14.00390625" style="217" customWidth="1"/>
    <col min="6" max="6" width="13.7109375" style="217" customWidth="1"/>
    <col min="7" max="8" width="12.140625" style="217" customWidth="1"/>
    <col min="9" max="9" width="12.421875" style="217" customWidth="1"/>
    <col min="10" max="10" width="11.8515625" style="217" customWidth="1"/>
    <col min="11" max="11" width="12.00390625" style="217" customWidth="1"/>
    <col min="12" max="12" width="14.140625" style="217" customWidth="1"/>
    <col min="13" max="13" width="11.7109375" style="217" customWidth="1"/>
    <col min="14" max="16" width="11.57421875" style="217" customWidth="1"/>
    <col min="17" max="17" width="13.57421875" style="217" customWidth="1"/>
    <col min="18" max="18" width="11.421875" style="217" customWidth="1"/>
    <col min="19" max="19" width="8.28125" style="0" customWidth="1"/>
    <col min="20" max="20" width="11.421875" style="217" customWidth="1"/>
    <col min="21" max="21" width="14.57421875" style="0" customWidth="1"/>
  </cols>
  <sheetData>
    <row r="1" spans="1:18" ht="21.75">
      <c r="A1" s="436" t="s">
        <v>289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218"/>
    </row>
    <row r="2" spans="1:20" ht="21.75">
      <c r="A2" s="439" t="s">
        <v>211</v>
      </c>
      <c r="B2" s="439" t="s">
        <v>219</v>
      </c>
      <c r="C2" s="440" t="s">
        <v>231</v>
      </c>
      <c r="D2" s="440"/>
      <c r="E2" s="440"/>
      <c r="F2" s="440"/>
      <c r="G2" s="440" t="s">
        <v>212</v>
      </c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220"/>
      <c r="S2" s="437" t="s">
        <v>232</v>
      </c>
      <c r="T2" s="438"/>
    </row>
    <row r="3" spans="1:20" ht="42.75" customHeight="1">
      <c r="A3" s="439"/>
      <c r="B3" s="439"/>
      <c r="C3" s="219" t="s">
        <v>213</v>
      </c>
      <c r="D3" s="219"/>
      <c r="E3" s="219" t="s">
        <v>214</v>
      </c>
      <c r="F3" s="222" t="s">
        <v>169</v>
      </c>
      <c r="G3" s="221" t="s">
        <v>28</v>
      </c>
      <c r="H3" s="221" t="s">
        <v>29</v>
      </c>
      <c r="I3" s="221" t="s">
        <v>31</v>
      </c>
      <c r="J3" s="221" t="s">
        <v>32</v>
      </c>
      <c r="K3" s="221" t="s">
        <v>33</v>
      </c>
      <c r="L3" s="221" t="s">
        <v>34</v>
      </c>
      <c r="M3" s="221" t="s">
        <v>36</v>
      </c>
      <c r="N3" s="221" t="s">
        <v>24</v>
      </c>
      <c r="O3" s="221" t="s">
        <v>37</v>
      </c>
      <c r="P3" s="221" t="s">
        <v>252</v>
      </c>
      <c r="Q3" s="221" t="s">
        <v>575</v>
      </c>
      <c r="R3" s="229" t="s">
        <v>576</v>
      </c>
      <c r="S3" s="230" t="s">
        <v>6</v>
      </c>
      <c r="T3" s="231" t="s">
        <v>80</v>
      </c>
    </row>
    <row r="4" spans="1:20" ht="21.75">
      <c r="A4" s="200">
        <v>2</v>
      </c>
      <c r="B4" s="232">
        <v>2113237</v>
      </c>
      <c r="C4" s="223">
        <v>107981.31</v>
      </c>
      <c r="D4" s="223"/>
      <c r="E4" s="223"/>
      <c r="F4" s="223">
        <v>1018.69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33" t="s">
        <v>270</v>
      </c>
      <c r="T4" s="234"/>
    </row>
    <row r="5" spans="1:20" ht="21.75">
      <c r="A5" s="198"/>
      <c r="B5" s="232">
        <v>2113238</v>
      </c>
      <c r="C5" s="202">
        <v>210018.7</v>
      </c>
      <c r="D5" s="202"/>
      <c r="E5" s="202"/>
      <c r="F5" s="202">
        <f>990.65+990.65</f>
        <v>1981.3</v>
      </c>
      <c r="G5" s="202">
        <v>146000</v>
      </c>
      <c r="H5" s="202">
        <v>198716</v>
      </c>
      <c r="I5" s="202"/>
      <c r="J5" s="202">
        <v>1950</v>
      </c>
      <c r="K5" s="202">
        <v>6500</v>
      </c>
      <c r="L5" s="202">
        <v>6520</v>
      </c>
      <c r="M5" s="202">
        <v>843</v>
      </c>
      <c r="N5" s="202">
        <v>4000</v>
      </c>
      <c r="O5" s="202"/>
      <c r="P5" s="202"/>
      <c r="Q5" s="202">
        <v>109000</v>
      </c>
      <c r="R5" s="202"/>
      <c r="S5" s="233" t="s">
        <v>293</v>
      </c>
      <c r="T5" s="235"/>
    </row>
    <row r="6" spans="1:20" ht="21.75">
      <c r="A6" s="198"/>
      <c r="B6" s="232">
        <v>2113239</v>
      </c>
      <c r="C6" s="202">
        <v>499900</v>
      </c>
      <c r="D6" s="202"/>
      <c r="E6" s="202"/>
      <c r="F6" s="202"/>
      <c r="G6" s="202">
        <v>5752</v>
      </c>
      <c r="H6" s="202">
        <v>49130</v>
      </c>
      <c r="I6" s="202">
        <v>49855</v>
      </c>
      <c r="J6" s="202">
        <v>3500</v>
      </c>
      <c r="K6" s="202">
        <v>6000</v>
      </c>
      <c r="L6" s="202">
        <v>7564</v>
      </c>
      <c r="M6" s="202"/>
      <c r="N6" s="202">
        <v>4000</v>
      </c>
      <c r="O6" s="202"/>
      <c r="P6" s="202"/>
      <c r="Q6" s="202">
        <v>106000</v>
      </c>
      <c r="R6" s="202">
        <v>2492</v>
      </c>
      <c r="S6" s="233"/>
      <c r="T6" s="236"/>
    </row>
    <row r="7" spans="1:20" ht="21.75">
      <c r="A7" s="198"/>
      <c r="B7" s="232">
        <v>2113240</v>
      </c>
      <c r="C7" s="202">
        <v>39900</v>
      </c>
      <c r="D7" s="202"/>
      <c r="E7" s="202"/>
      <c r="F7" s="202">
        <v>65</v>
      </c>
      <c r="G7" s="202">
        <v>76000</v>
      </c>
      <c r="H7" s="202">
        <v>44410</v>
      </c>
      <c r="I7" s="202">
        <v>26425</v>
      </c>
      <c r="J7" s="202">
        <v>5800</v>
      </c>
      <c r="K7" s="202">
        <v>6500</v>
      </c>
      <c r="L7" s="202">
        <v>7288</v>
      </c>
      <c r="M7" s="202"/>
      <c r="N7" s="202">
        <v>3000</v>
      </c>
      <c r="O7" s="202"/>
      <c r="P7" s="202"/>
      <c r="Q7" s="202">
        <v>106000</v>
      </c>
      <c r="R7" s="202">
        <v>1321</v>
      </c>
      <c r="S7" s="233"/>
      <c r="T7" s="236"/>
    </row>
    <row r="8" spans="1:20" ht="21.75">
      <c r="A8" s="198"/>
      <c r="B8" s="232">
        <v>2113241</v>
      </c>
      <c r="C8" s="202">
        <v>6435</v>
      </c>
      <c r="D8" s="202"/>
      <c r="E8" s="202"/>
      <c r="F8" s="202">
        <v>60</v>
      </c>
      <c r="G8" s="202">
        <v>32000</v>
      </c>
      <c r="H8" s="202">
        <v>22040</v>
      </c>
      <c r="I8" s="202">
        <v>13285</v>
      </c>
      <c r="J8" s="202">
        <v>3000</v>
      </c>
      <c r="K8" s="202">
        <v>6500</v>
      </c>
      <c r="L8" s="202">
        <v>16360</v>
      </c>
      <c r="M8" s="202"/>
      <c r="N8" s="202">
        <v>2000</v>
      </c>
      <c r="O8" s="202"/>
      <c r="P8" s="202"/>
      <c r="Q8" s="202">
        <v>105000</v>
      </c>
      <c r="R8" s="202">
        <v>664</v>
      </c>
      <c r="S8" s="233"/>
      <c r="T8" s="236"/>
    </row>
    <row r="9" spans="1:21" ht="21.75">
      <c r="A9" s="198"/>
      <c r="B9" s="232">
        <v>2113242</v>
      </c>
      <c r="C9" s="202">
        <v>5940</v>
      </c>
      <c r="D9" s="202"/>
      <c r="E9" s="202"/>
      <c r="F9" s="202">
        <v>65</v>
      </c>
      <c r="G9" s="202"/>
      <c r="H9" s="202">
        <v>1960</v>
      </c>
      <c r="I9" s="202">
        <v>10000</v>
      </c>
      <c r="J9" s="202"/>
      <c r="K9" s="202">
        <v>6500</v>
      </c>
      <c r="L9" s="202">
        <v>425</v>
      </c>
      <c r="M9" s="202"/>
      <c r="N9" s="202"/>
      <c r="O9" s="202"/>
      <c r="P9" s="202"/>
      <c r="Q9" s="202">
        <v>106000</v>
      </c>
      <c r="R9" s="202">
        <v>500</v>
      </c>
      <c r="S9" s="233" t="s">
        <v>233</v>
      </c>
      <c r="T9" s="236"/>
      <c r="U9" s="213"/>
    </row>
    <row r="10" spans="1:20" ht="21.75">
      <c r="A10" s="198"/>
      <c r="B10" s="232">
        <v>2113243</v>
      </c>
      <c r="C10" s="202">
        <v>6435</v>
      </c>
      <c r="D10" s="202"/>
      <c r="E10" s="202"/>
      <c r="F10" s="202">
        <v>65</v>
      </c>
      <c r="G10" s="202"/>
      <c r="H10" s="202">
        <v>214260</v>
      </c>
      <c r="I10" s="202"/>
      <c r="J10" s="202"/>
      <c r="K10" s="202">
        <v>6600</v>
      </c>
      <c r="L10" s="202"/>
      <c r="M10" s="202"/>
      <c r="N10" s="202"/>
      <c r="O10" s="202"/>
      <c r="P10" s="202"/>
      <c r="Q10" s="202">
        <v>106000</v>
      </c>
      <c r="R10" s="202"/>
      <c r="S10" s="233"/>
      <c r="T10" s="236"/>
    </row>
    <row r="11" spans="1:20" ht="21.75">
      <c r="A11" s="198"/>
      <c r="B11" s="232">
        <v>2113244</v>
      </c>
      <c r="C11" s="202">
        <v>6435</v>
      </c>
      <c r="D11" s="202"/>
      <c r="E11" s="202"/>
      <c r="F11" s="202">
        <v>65</v>
      </c>
      <c r="G11" s="202"/>
      <c r="H11" s="202"/>
      <c r="I11" s="202"/>
      <c r="J11" s="202"/>
      <c r="K11" s="202">
        <v>2986.4</v>
      </c>
      <c r="L11" s="202"/>
      <c r="M11" s="202"/>
      <c r="N11" s="202"/>
      <c r="O11" s="202"/>
      <c r="P11" s="202"/>
      <c r="Q11" s="202">
        <v>106059</v>
      </c>
      <c r="R11" s="202"/>
      <c r="S11" s="233"/>
      <c r="T11" s="236"/>
    </row>
    <row r="12" spans="1:20" ht="21.75">
      <c r="A12" s="198"/>
      <c r="B12" s="232">
        <v>2113245</v>
      </c>
      <c r="C12" s="202">
        <v>6435</v>
      </c>
      <c r="D12" s="202"/>
      <c r="E12" s="202"/>
      <c r="F12" s="202">
        <v>66</v>
      </c>
      <c r="G12" s="202"/>
      <c r="H12" s="202"/>
      <c r="I12" s="202"/>
      <c r="J12" s="202"/>
      <c r="K12" s="202">
        <v>2476</v>
      </c>
      <c r="L12" s="202"/>
      <c r="M12" s="202"/>
      <c r="N12" s="202"/>
      <c r="O12" s="202"/>
      <c r="P12" s="202"/>
      <c r="Q12" s="202">
        <v>34511</v>
      </c>
      <c r="R12" s="202"/>
      <c r="S12" s="198"/>
      <c r="T12" s="236"/>
    </row>
    <row r="13" spans="1:20" ht="21.75">
      <c r="A13" s="198"/>
      <c r="B13" s="232">
        <v>2113246</v>
      </c>
      <c r="C13" s="202">
        <v>146000</v>
      </c>
      <c r="D13" s="202"/>
      <c r="E13" s="202"/>
      <c r="F13" s="202">
        <v>981.31</v>
      </c>
      <c r="G13" s="202"/>
      <c r="H13" s="202"/>
      <c r="I13" s="202"/>
      <c r="J13" s="202"/>
      <c r="K13" s="202">
        <v>98000</v>
      </c>
      <c r="L13" s="202"/>
      <c r="M13" s="202"/>
      <c r="N13" s="202"/>
      <c r="O13" s="202"/>
      <c r="P13" s="202"/>
      <c r="Q13" s="202">
        <v>5227</v>
      </c>
      <c r="R13" s="202"/>
      <c r="S13" s="233"/>
      <c r="T13" s="236"/>
    </row>
    <row r="14" spans="1:20" ht="21.75">
      <c r="A14" s="198"/>
      <c r="B14" s="232">
        <v>2113247</v>
      </c>
      <c r="C14" s="202">
        <v>13504</v>
      </c>
      <c r="D14" s="202"/>
      <c r="E14" s="202"/>
      <c r="F14" s="202">
        <v>70.69</v>
      </c>
      <c r="G14" s="202"/>
      <c r="H14" s="202"/>
      <c r="I14" s="202"/>
      <c r="J14" s="202"/>
      <c r="K14" s="202">
        <v>75000</v>
      </c>
      <c r="L14" s="202"/>
      <c r="M14" s="202"/>
      <c r="N14" s="202"/>
      <c r="O14" s="202"/>
      <c r="P14" s="202"/>
      <c r="Q14" s="202">
        <v>14710</v>
      </c>
      <c r="R14" s="202"/>
      <c r="S14" s="233"/>
      <c r="T14" s="236"/>
    </row>
    <row r="15" spans="1:20" ht="21.75">
      <c r="A15" s="198">
        <v>12</v>
      </c>
      <c r="B15" s="232">
        <v>2113248</v>
      </c>
      <c r="C15" s="202">
        <v>2400.98</v>
      </c>
      <c r="D15" s="202"/>
      <c r="E15" s="202"/>
      <c r="F15" s="202">
        <v>68.11</v>
      </c>
      <c r="G15" s="202"/>
      <c r="H15" s="202"/>
      <c r="I15" s="202"/>
      <c r="J15" s="202"/>
      <c r="K15" s="202">
        <v>67000</v>
      </c>
      <c r="L15" s="202"/>
      <c r="M15" s="202"/>
      <c r="N15" s="202"/>
      <c r="O15" s="202"/>
      <c r="P15" s="202"/>
      <c r="Q15" s="202">
        <v>76000</v>
      </c>
      <c r="R15" s="202"/>
      <c r="S15" s="233"/>
      <c r="T15" s="236"/>
    </row>
    <row r="16" spans="1:21" ht="21.75">
      <c r="A16" s="198"/>
      <c r="B16" s="232">
        <v>2113249</v>
      </c>
      <c r="C16" s="202">
        <v>6534</v>
      </c>
      <c r="D16" s="202"/>
      <c r="E16" s="202"/>
      <c r="F16" s="202">
        <v>163.6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33"/>
      <c r="T16" s="236"/>
      <c r="U16" s="213"/>
    </row>
    <row r="17" spans="1:21" ht="21.75">
      <c r="A17" s="198"/>
      <c r="B17" s="232">
        <v>2113250</v>
      </c>
      <c r="C17" s="202">
        <v>6520</v>
      </c>
      <c r="D17" s="202"/>
      <c r="E17" s="202"/>
      <c r="F17" s="202">
        <v>760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33"/>
      <c r="T17" s="236"/>
      <c r="U17" s="213"/>
    </row>
    <row r="18" spans="1:20" ht="21.75">
      <c r="A18" s="198"/>
      <c r="B18" s="232">
        <v>2113251</v>
      </c>
      <c r="C18" s="202">
        <v>104018.69</v>
      </c>
      <c r="D18" s="202"/>
      <c r="E18" s="202"/>
      <c r="F18" s="202">
        <v>320</v>
      </c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33"/>
      <c r="T18" s="236"/>
    </row>
    <row r="19" spans="1:20" ht="21.75">
      <c r="A19" s="198"/>
      <c r="B19" s="232">
        <v>2113252</v>
      </c>
      <c r="C19" s="202">
        <v>14713.2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33"/>
      <c r="T19" s="236"/>
    </row>
    <row r="20" spans="1:20" ht="21.75">
      <c r="A20" s="198"/>
      <c r="B20" s="232">
        <v>2113253</v>
      </c>
      <c r="C20" s="202">
        <v>16196.4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33"/>
      <c r="T20" s="236"/>
    </row>
    <row r="21" spans="1:20" ht="21.75">
      <c r="A21" s="198"/>
      <c r="B21" s="232">
        <v>2113254</v>
      </c>
      <c r="C21" s="302">
        <v>9600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33"/>
      <c r="T21" s="236"/>
    </row>
    <row r="22" spans="1:20" ht="21.75">
      <c r="A22" s="198">
        <v>15</v>
      </c>
      <c r="B22" s="232">
        <v>2113255</v>
      </c>
      <c r="C22" s="202">
        <v>75240</v>
      </c>
      <c r="D22" s="202"/>
      <c r="E22" s="202"/>
      <c r="F22" s="202">
        <v>1000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33"/>
      <c r="T22" s="236"/>
    </row>
    <row r="23" spans="1:20" ht="21.75">
      <c r="A23" s="198"/>
      <c r="B23" s="232">
        <v>2113256</v>
      </c>
      <c r="C23" s="202">
        <v>31680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33"/>
      <c r="T23" s="236"/>
    </row>
    <row r="24" spans="1:20" ht="21.75">
      <c r="A24" s="198"/>
      <c r="B24" s="232">
        <v>2113257</v>
      </c>
      <c r="C24" s="202">
        <v>210018.7</v>
      </c>
      <c r="D24" s="202"/>
      <c r="E24" s="202"/>
      <c r="F24" s="202">
        <f>990.65+990.65</f>
        <v>1981.3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33"/>
      <c r="T24" s="236"/>
    </row>
    <row r="25" spans="1:20" ht="21.75">
      <c r="A25" s="198">
        <v>20</v>
      </c>
      <c r="B25" s="232">
        <v>2113258</v>
      </c>
      <c r="C25" s="202">
        <v>2956.54</v>
      </c>
      <c r="D25" s="202"/>
      <c r="E25" s="202"/>
      <c r="F25" s="202">
        <v>29.86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33"/>
      <c r="T25" s="236"/>
    </row>
    <row r="26" spans="1:20" ht="21.75">
      <c r="A26" s="198"/>
      <c r="B26" s="232">
        <v>2113259</v>
      </c>
      <c r="C26" s="202">
        <v>4500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33"/>
      <c r="T26" s="236"/>
    </row>
    <row r="27" spans="1:20" ht="21.75">
      <c r="A27" s="198"/>
      <c r="B27" s="232">
        <v>2113260</v>
      </c>
      <c r="C27" s="202">
        <v>15850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36"/>
      <c r="S27" s="233"/>
      <c r="T27" s="236"/>
    </row>
    <row r="28" spans="1:20" ht="21.75">
      <c r="A28" s="198">
        <v>26</v>
      </c>
      <c r="B28" s="232">
        <v>2114161</v>
      </c>
      <c r="C28" s="202">
        <v>11800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33"/>
      <c r="T28" s="236"/>
    </row>
    <row r="29" spans="1:20" ht="21.75">
      <c r="A29" s="198"/>
      <c r="B29" s="232">
        <v>2114162</v>
      </c>
      <c r="C29" s="202"/>
      <c r="D29" s="202"/>
      <c r="E29" s="202">
        <v>30500</v>
      </c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33"/>
      <c r="T29" s="236"/>
    </row>
    <row r="30" spans="1:20" ht="21.75">
      <c r="A30" s="198">
        <v>27</v>
      </c>
      <c r="B30" s="232" t="s">
        <v>290</v>
      </c>
      <c r="C30" s="202"/>
      <c r="D30" s="202"/>
      <c r="E30" s="202">
        <v>17060</v>
      </c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33"/>
      <c r="T30" s="236"/>
    </row>
    <row r="31" spans="1:20" ht="21.75">
      <c r="A31" s="198"/>
      <c r="B31" s="232" t="s">
        <v>291</v>
      </c>
      <c r="C31" s="202"/>
      <c r="D31" s="202"/>
      <c r="E31" s="202">
        <v>64451.25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33"/>
      <c r="T31" s="236"/>
    </row>
    <row r="32" spans="1:20" ht="21.75">
      <c r="A32" s="198">
        <v>29</v>
      </c>
      <c r="B32" s="232">
        <v>2114163</v>
      </c>
      <c r="C32" s="202"/>
      <c r="D32" s="202"/>
      <c r="E32" s="202">
        <v>298572.75</v>
      </c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33"/>
      <c r="T32" s="236"/>
    </row>
    <row r="33" spans="1:20" ht="21.75">
      <c r="A33" s="198"/>
      <c r="B33" s="232">
        <v>2114164</v>
      </c>
      <c r="C33" s="202">
        <v>160507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14"/>
      <c r="N33" s="202"/>
      <c r="O33" s="202"/>
      <c r="P33" s="202"/>
      <c r="Q33" s="202"/>
      <c r="R33" s="202"/>
      <c r="S33" s="233"/>
      <c r="T33" s="236"/>
    </row>
    <row r="34" spans="1:20" ht="21.75">
      <c r="A34" s="209"/>
      <c r="B34" s="232">
        <v>2114165</v>
      </c>
      <c r="C34" s="214">
        <v>14950</v>
      </c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33"/>
      <c r="T34" s="237"/>
    </row>
    <row r="35" spans="1:20" ht="21.75">
      <c r="A35" s="209"/>
      <c r="B35" s="232">
        <v>2114166</v>
      </c>
      <c r="C35" s="214"/>
      <c r="D35" s="214"/>
      <c r="E35" s="214">
        <v>73389.72</v>
      </c>
      <c r="F35" s="202">
        <v>710.28</v>
      </c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53"/>
      <c r="T35" s="237"/>
    </row>
    <row r="36" spans="1:20" ht="21.75">
      <c r="A36" s="209">
        <v>30</v>
      </c>
      <c r="B36" s="232" t="s">
        <v>292</v>
      </c>
      <c r="C36" s="214">
        <v>214280</v>
      </c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33"/>
      <c r="T36" s="237"/>
    </row>
    <row r="37" spans="1:20" ht="21.75">
      <c r="A37" s="209"/>
      <c r="B37" s="232"/>
      <c r="C37" s="214">
        <v>17974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53"/>
      <c r="T37" s="237"/>
    </row>
    <row r="38" spans="1:20" ht="21.75">
      <c r="A38" s="209"/>
      <c r="B38" s="232">
        <v>2114167</v>
      </c>
      <c r="C38" s="214">
        <v>4000</v>
      </c>
      <c r="D38" s="214" t="s">
        <v>294</v>
      </c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53"/>
      <c r="T38" s="237"/>
    </row>
    <row r="39" spans="1:20" ht="21.75">
      <c r="A39" s="209"/>
      <c r="B39" s="232">
        <v>2114168</v>
      </c>
      <c r="C39" s="214">
        <v>4000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53"/>
      <c r="T39" s="237"/>
    </row>
    <row r="40" spans="1:20" ht="21.75">
      <c r="A40" s="209"/>
      <c r="B40" s="232">
        <v>2114169</v>
      </c>
      <c r="C40" s="303">
        <v>3000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53"/>
      <c r="T40" s="237"/>
    </row>
    <row r="41" spans="1:20" ht="21.75">
      <c r="A41" s="209"/>
      <c r="B41" s="232">
        <v>2114170</v>
      </c>
      <c r="C41" s="214">
        <v>2000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53"/>
      <c r="T41" s="237"/>
    </row>
    <row r="42" spans="1:20" ht="21.75">
      <c r="A42" s="209"/>
      <c r="B42" s="232">
        <v>2114171</v>
      </c>
      <c r="C42" s="214">
        <v>97020</v>
      </c>
      <c r="D42" s="214"/>
      <c r="E42" s="202"/>
      <c r="F42" s="202">
        <v>980</v>
      </c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53"/>
      <c r="T42" s="237"/>
    </row>
    <row r="43" spans="1:20" ht="21.75">
      <c r="A43" s="209"/>
      <c r="B43" s="232">
        <v>2114172</v>
      </c>
      <c r="C43" s="214">
        <v>74250</v>
      </c>
      <c r="D43" s="214"/>
      <c r="E43" s="202"/>
      <c r="F43" s="202">
        <v>750</v>
      </c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53"/>
      <c r="T43" s="237"/>
    </row>
    <row r="44" spans="1:20" ht="21.75">
      <c r="A44" s="209"/>
      <c r="B44" s="232">
        <v>2114173</v>
      </c>
      <c r="C44" s="214">
        <v>66330</v>
      </c>
      <c r="D44" s="214"/>
      <c r="E44" s="202"/>
      <c r="F44" s="202">
        <v>670</v>
      </c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53"/>
      <c r="T44" s="237"/>
    </row>
    <row r="45" spans="1:20" ht="21.75">
      <c r="A45" s="209"/>
      <c r="B45" s="232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53"/>
      <c r="T45" s="237"/>
    </row>
    <row r="46" spans="1:20" ht="21.75">
      <c r="A46" s="209"/>
      <c r="B46" s="232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53"/>
      <c r="T46" s="237"/>
    </row>
    <row r="47" spans="1:20" ht="21.75">
      <c r="A47" s="209"/>
      <c r="B47" s="232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53"/>
      <c r="T47" s="237"/>
    </row>
    <row r="48" spans="1:20" ht="21.75">
      <c r="A48" s="209"/>
      <c r="B48" s="209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09"/>
      <c r="T48" s="237"/>
    </row>
    <row r="49" spans="1:20" ht="33" customHeight="1" thickBot="1">
      <c r="A49" s="227"/>
      <c r="B49" s="227">
        <v>4977</v>
      </c>
      <c r="C49" s="228">
        <f>SUM(C4:C44)</f>
        <v>2219323.5199999996</v>
      </c>
      <c r="D49" s="228"/>
      <c r="E49" s="228">
        <f>SUM(E4:E44)</f>
        <v>483973.72</v>
      </c>
      <c r="F49" s="228">
        <f>SUM(F4:F44)</f>
        <v>11871.14</v>
      </c>
      <c r="G49" s="228">
        <f>SUM(G4:G44)</f>
        <v>259752</v>
      </c>
      <c r="H49" s="228">
        <f>SUM(H5:H10)</f>
        <v>530516</v>
      </c>
      <c r="I49" s="228">
        <f>SUM(I4:I44)</f>
        <v>99565</v>
      </c>
      <c r="J49" s="228">
        <f>SUM(J4:J44)</f>
        <v>14250</v>
      </c>
      <c r="K49" s="228">
        <f aca="true" t="shared" si="0" ref="K49:S49">SUM(K4:K45)</f>
        <v>284062.4</v>
      </c>
      <c r="L49" s="228">
        <f t="shared" si="0"/>
        <v>38157</v>
      </c>
      <c r="M49" s="228">
        <f t="shared" si="0"/>
        <v>843</v>
      </c>
      <c r="N49" s="228">
        <f t="shared" si="0"/>
        <v>13000</v>
      </c>
      <c r="O49" s="228">
        <f t="shared" si="0"/>
        <v>0</v>
      </c>
      <c r="P49" s="228">
        <f t="shared" si="0"/>
        <v>0</v>
      </c>
      <c r="Q49" s="228">
        <f t="shared" si="0"/>
        <v>874507</v>
      </c>
      <c r="R49" s="228">
        <f t="shared" si="0"/>
        <v>4977</v>
      </c>
      <c r="S49" s="228">
        <f t="shared" si="0"/>
        <v>0</v>
      </c>
      <c r="T49" s="228">
        <f>SUM(T4:T44)</f>
        <v>0</v>
      </c>
    </row>
    <row r="50" ht="22.5" thickTop="1">
      <c r="H50" s="217">
        <v>214260</v>
      </c>
    </row>
    <row r="51" ht="21.75">
      <c r="D51" s="217">
        <f>SUM(C49:F49)</f>
        <v>2715168.3799999994</v>
      </c>
    </row>
    <row r="52" ht="21.75">
      <c r="H52" s="217">
        <f>SUM(H49-H50)</f>
        <v>316256</v>
      </c>
    </row>
    <row r="53" ht="21.75">
      <c r="E53" s="217">
        <f>SUM(B49:F49)</f>
        <v>2720145.3799999994</v>
      </c>
    </row>
    <row r="55" ht="21.75">
      <c r="N55" s="217">
        <f>SUM(N51:N54)</f>
        <v>0</v>
      </c>
    </row>
    <row r="59" spans="3:8" ht="21.75">
      <c r="C59" s="217">
        <f>SUM(C56:C58)</f>
        <v>0</v>
      </c>
      <c r="F59" s="217">
        <f>SUM(F56:F58)</f>
        <v>0</v>
      </c>
      <c r="H59" s="217">
        <f>SUM(H57:H58)</f>
        <v>0</v>
      </c>
    </row>
    <row r="63" spans="4:8" ht="21.75">
      <c r="D63" s="217">
        <f>SUM(D59-D60)</f>
        <v>0</v>
      </c>
      <c r="F63" s="217">
        <f>SUM(F59-F60)</f>
        <v>0</v>
      </c>
      <c r="G63" s="217">
        <f>SUM(G59-G60)</f>
        <v>0</v>
      </c>
      <c r="H63" s="217">
        <f>SUM(H59-H60)</f>
        <v>0</v>
      </c>
    </row>
  </sheetData>
  <sheetProtection/>
  <mergeCells count="6">
    <mergeCell ref="S2:T2"/>
    <mergeCell ref="A2:A3"/>
    <mergeCell ref="B2:B3"/>
    <mergeCell ref="A1:Q1"/>
    <mergeCell ref="C2:F2"/>
    <mergeCell ref="G2:Q2"/>
  </mergeCells>
  <printOptions/>
  <pageMargins left="0.15748031496062992" right="0.2362204724409449" top="0.2362204724409449" bottom="0.15748031496062992" header="0.2362204724409449" footer="0.1574803149606299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C1">
      <selection activeCell="B24" sqref="B24"/>
    </sheetView>
  </sheetViews>
  <sheetFormatPr defaultColWidth="9.140625" defaultRowHeight="21.75"/>
  <cols>
    <col min="1" max="1" width="5.7109375" style="0" customWidth="1"/>
    <col min="2" max="2" width="12.421875" style="0" customWidth="1"/>
    <col min="3" max="3" width="12.00390625" style="0" customWidth="1"/>
    <col min="4" max="4" width="12.28125" style="0" customWidth="1"/>
    <col min="5" max="5" width="11.140625" style="0" customWidth="1"/>
    <col min="6" max="6" width="12.421875" style="0" customWidth="1"/>
    <col min="7" max="7" width="12.7109375" style="0" customWidth="1"/>
    <col min="8" max="8" width="12.8515625" style="0" customWidth="1"/>
    <col min="9" max="9" width="12.57421875" style="0" customWidth="1"/>
    <col min="10" max="10" width="13.28125" style="0" customWidth="1"/>
    <col min="11" max="11" width="12.8515625" style="0" customWidth="1"/>
    <col min="12" max="12" width="12.421875" style="217" customWidth="1"/>
    <col min="13" max="13" width="12.57421875" style="217" customWidth="1"/>
    <col min="14" max="14" width="12.28125" style="217" customWidth="1"/>
    <col min="15" max="15" width="12.421875" style="217" customWidth="1"/>
    <col min="16" max="16" width="12.7109375" style="0" customWidth="1"/>
    <col min="17" max="17" width="13.00390625" style="0" customWidth="1"/>
  </cols>
  <sheetData>
    <row r="1" spans="1:15" ht="21.75">
      <c r="A1" s="441" t="s">
        <v>295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7" ht="48.75" customHeight="1">
      <c r="A2" s="199" t="s">
        <v>211</v>
      </c>
      <c r="B2" s="199" t="s">
        <v>220</v>
      </c>
      <c r="C2" s="199" t="s">
        <v>276</v>
      </c>
      <c r="D2" s="298" t="s">
        <v>279</v>
      </c>
      <c r="E2" s="286" t="s">
        <v>271</v>
      </c>
      <c r="F2" s="199" t="s">
        <v>221</v>
      </c>
      <c r="G2" s="199" t="s">
        <v>272</v>
      </c>
      <c r="H2" s="199" t="s">
        <v>226</v>
      </c>
      <c r="I2" s="199" t="s">
        <v>227</v>
      </c>
      <c r="J2" s="199" t="s">
        <v>228</v>
      </c>
      <c r="K2" s="199" t="s">
        <v>229</v>
      </c>
      <c r="L2" s="219" t="s">
        <v>318</v>
      </c>
      <c r="M2" s="220" t="s">
        <v>230</v>
      </c>
      <c r="N2" s="221" t="s">
        <v>260</v>
      </c>
      <c r="O2" s="222" t="s">
        <v>297</v>
      </c>
      <c r="P2" s="199" t="s">
        <v>280</v>
      </c>
      <c r="Q2" s="298" t="s">
        <v>296</v>
      </c>
    </row>
    <row r="3" spans="1:17" ht="21.75">
      <c r="A3" s="197">
        <v>1</v>
      </c>
      <c r="B3" s="201"/>
      <c r="C3" s="223"/>
      <c r="D3" s="201"/>
      <c r="E3" s="223"/>
      <c r="F3" s="223"/>
      <c r="G3" s="223"/>
      <c r="H3" s="223"/>
      <c r="I3" s="223"/>
      <c r="J3" s="223"/>
      <c r="K3" s="223"/>
      <c r="L3" s="223"/>
      <c r="M3" s="224"/>
      <c r="N3" s="223"/>
      <c r="O3" s="201"/>
      <c r="P3" s="300"/>
      <c r="Q3" s="300"/>
    </row>
    <row r="4" spans="1:17" ht="21.75">
      <c r="A4" s="198">
        <v>13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25"/>
      <c r="N4" s="202"/>
      <c r="O4" s="202"/>
      <c r="P4" s="198"/>
      <c r="Q4" s="198"/>
    </row>
    <row r="5" spans="1:17" ht="21.75">
      <c r="A5" s="198">
        <v>15</v>
      </c>
      <c r="B5" s="223">
        <v>376</v>
      </c>
      <c r="C5" s="223">
        <v>0</v>
      </c>
      <c r="D5" s="223"/>
      <c r="E5" s="202"/>
      <c r="F5" s="202"/>
      <c r="G5" s="202"/>
      <c r="H5" s="202"/>
      <c r="I5" s="202"/>
      <c r="J5" s="202"/>
      <c r="K5" s="202"/>
      <c r="L5" s="202"/>
      <c r="M5" s="225"/>
      <c r="N5" s="202"/>
      <c r="O5" s="202"/>
      <c r="P5" s="198"/>
      <c r="Q5" s="198"/>
    </row>
    <row r="6" spans="1:17" ht="21.75">
      <c r="A6" s="198">
        <v>16</v>
      </c>
      <c r="B6" s="202">
        <v>223097.88</v>
      </c>
      <c r="C6" s="202"/>
      <c r="D6" s="202"/>
      <c r="E6" s="202"/>
      <c r="F6" s="202">
        <v>110258.8</v>
      </c>
      <c r="G6" s="202"/>
      <c r="H6" s="202"/>
      <c r="I6" s="202">
        <v>36278.37</v>
      </c>
      <c r="J6" s="202">
        <v>76560.71</v>
      </c>
      <c r="K6" s="202"/>
      <c r="L6" s="202"/>
      <c r="M6" s="225"/>
      <c r="N6" s="202"/>
      <c r="O6" s="202"/>
      <c r="P6" s="198"/>
      <c r="Q6" s="198"/>
    </row>
    <row r="7" spans="1:17" ht="21.75">
      <c r="A7" s="198">
        <v>23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25"/>
      <c r="N7" s="202"/>
      <c r="O7" s="202"/>
      <c r="P7" s="198"/>
      <c r="Q7" s="198"/>
    </row>
    <row r="8" spans="1:17" ht="21.75">
      <c r="A8" s="198">
        <v>26</v>
      </c>
      <c r="B8" s="202">
        <v>12000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25"/>
      <c r="N8" s="202">
        <v>12000</v>
      </c>
      <c r="O8" s="202"/>
      <c r="P8" s="198"/>
      <c r="Q8" s="198"/>
    </row>
    <row r="9" spans="1:17" ht="21.75">
      <c r="A9" s="198">
        <v>27</v>
      </c>
      <c r="B9" s="202">
        <v>128</v>
      </c>
      <c r="C9" s="202"/>
      <c r="D9" s="202"/>
      <c r="E9" s="202">
        <v>20</v>
      </c>
      <c r="F9" s="202"/>
      <c r="G9" s="202"/>
      <c r="H9" s="202"/>
      <c r="I9" s="202"/>
      <c r="J9" s="202"/>
      <c r="K9" s="202"/>
      <c r="L9" s="202"/>
      <c r="M9" s="225"/>
      <c r="N9" s="202"/>
      <c r="O9" s="202"/>
      <c r="P9" s="198"/>
      <c r="Q9" s="198">
        <v>108</v>
      </c>
    </row>
    <row r="10" spans="1:17" ht="21.75">
      <c r="A10" s="198">
        <v>28</v>
      </c>
      <c r="B10" s="215">
        <v>307060.48</v>
      </c>
      <c r="C10" s="202"/>
      <c r="D10" s="202"/>
      <c r="E10" s="202"/>
      <c r="F10" s="202">
        <v>111282.66</v>
      </c>
      <c r="G10" s="202">
        <v>25830</v>
      </c>
      <c r="H10" s="202">
        <v>7993.75</v>
      </c>
      <c r="I10" s="202">
        <v>38800.69</v>
      </c>
      <c r="J10" s="202">
        <v>84477.44</v>
      </c>
      <c r="K10" s="202">
        <v>6029.94</v>
      </c>
      <c r="L10" s="202">
        <v>360</v>
      </c>
      <c r="M10" s="225">
        <v>32646</v>
      </c>
      <c r="N10" s="202"/>
      <c r="O10" s="202"/>
      <c r="P10" s="202"/>
      <c r="Q10" s="202"/>
    </row>
    <row r="11" spans="1:17" ht="21.75">
      <c r="A11" s="198">
        <v>29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25"/>
      <c r="N11" s="202"/>
      <c r="O11" s="202">
        <v>5360.56</v>
      </c>
      <c r="P11" s="198"/>
      <c r="Q11" s="198"/>
    </row>
    <row r="12" spans="1:17" ht="21.75">
      <c r="A12" s="198">
        <v>30</v>
      </c>
      <c r="B12" s="202">
        <v>487023.6</v>
      </c>
      <c r="C12" s="202"/>
      <c r="D12" s="202">
        <v>443943.27</v>
      </c>
      <c r="E12" s="202">
        <v>80</v>
      </c>
      <c r="F12" s="202"/>
      <c r="G12" s="202"/>
      <c r="H12" s="202"/>
      <c r="I12" s="202"/>
      <c r="J12" s="202"/>
      <c r="K12" s="202"/>
      <c r="L12" s="202"/>
      <c r="M12" s="225"/>
      <c r="N12" s="202"/>
      <c r="O12" s="202">
        <v>31579.77</v>
      </c>
      <c r="P12" s="198">
        <v>6000</v>
      </c>
      <c r="Q12" s="198">
        <v>60</v>
      </c>
    </row>
    <row r="13" spans="1:17" ht="21.75">
      <c r="A13" s="198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25"/>
      <c r="N13" s="202"/>
      <c r="O13" s="202"/>
      <c r="P13" s="198"/>
      <c r="Q13" s="198"/>
    </row>
    <row r="14" spans="1:17" ht="21.75">
      <c r="A14" s="198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25"/>
      <c r="N14" s="202"/>
      <c r="O14" s="202"/>
      <c r="P14" s="198"/>
      <c r="Q14" s="198"/>
    </row>
    <row r="15" spans="1:17" ht="21.75">
      <c r="A15" s="198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25"/>
      <c r="N15" s="202"/>
      <c r="O15" s="202"/>
      <c r="P15" s="198"/>
      <c r="Q15" s="198"/>
    </row>
    <row r="16" spans="1:17" ht="21.75">
      <c r="A16" s="209"/>
      <c r="B16" s="214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25"/>
      <c r="N16" s="202"/>
      <c r="O16" s="202"/>
      <c r="P16" s="198"/>
      <c r="Q16" s="198"/>
    </row>
    <row r="17" spans="1:17" ht="21.75">
      <c r="A17" s="209"/>
      <c r="B17" s="214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25"/>
      <c r="N17" s="202"/>
      <c r="O17" s="202"/>
      <c r="P17" s="198"/>
      <c r="Q17" s="198"/>
    </row>
    <row r="18" spans="1:17" ht="21.75">
      <c r="A18" s="209"/>
      <c r="B18" s="214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25"/>
      <c r="N18" s="202"/>
      <c r="O18" s="202"/>
      <c r="P18" s="198"/>
      <c r="Q18" s="198"/>
    </row>
    <row r="19" spans="1:17" ht="21.75">
      <c r="A19" s="209"/>
      <c r="B19" s="214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25"/>
      <c r="N19" s="202"/>
      <c r="O19" s="202"/>
      <c r="P19" s="198"/>
      <c r="Q19" s="198"/>
    </row>
    <row r="20" spans="1:17" ht="22.5" customHeight="1">
      <c r="A20" s="198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25"/>
      <c r="N20" s="202"/>
      <c r="O20" s="202"/>
      <c r="P20" s="198"/>
      <c r="Q20" s="198"/>
    </row>
    <row r="21" spans="1:17" ht="21.75">
      <c r="A21" s="198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25"/>
      <c r="N21" s="202"/>
      <c r="O21" s="202"/>
      <c r="P21" s="198"/>
      <c r="Q21" s="198"/>
    </row>
    <row r="22" spans="1:17" ht="21.75">
      <c r="A22" s="198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25"/>
      <c r="N22" s="202"/>
      <c r="O22" s="202"/>
      <c r="P22" s="198"/>
      <c r="Q22" s="198"/>
    </row>
    <row r="23" spans="1:17" ht="21.75">
      <c r="A23" s="209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26"/>
      <c r="N23" s="202"/>
      <c r="O23" s="214"/>
      <c r="P23" s="301"/>
      <c r="Q23" s="301"/>
    </row>
    <row r="24" spans="1:17" ht="28.5" customHeight="1" thickBot="1">
      <c r="A24" s="227"/>
      <c r="B24" s="228">
        <f>SUM(B3:B23)</f>
        <v>1029685.96</v>
      </c>
      <c r="C24" s="228">
        <f aca="true" t="shared" si="0" ref="C24:Q24">SUM(C3:C23)</f>
        <v>0</v>
      </c>
      <c r="D24" s="228">
        <f t="shared" si="0"/>
        <v>443943.27</v>
      </c>
      <c r="E24" s="228">
        <f t="shared" si="0"/>
        <v>100</v>
      </c>
      <c r="F24" s="228">
        <f t="shared" si="0"/>
        <v>221541.46000000002</v>
      </c>
      <c r="G24" s="228">
        <f t="shared" si="0"/>
        <v>25830</v>
      </c>
      <c r="H24" s="228">
        <f t="shared" si="0"/>
        <v>7993.75</v>
      </c>
      <c r="I24" s="228">
        <f t="shared" si="0"/>
        <v>75079.06</v>
      </c>
      <c r="J24" s="228">
        <f t="shared" si="0"/>
        <v>161038.15000000002</v>
      </c>
      <c r="K24" s="228">
        <f t="shared" si="0"/>
        <v>6029.94</v>
      </c>
      <c r="L24" s="228">
        <f t="shared" si="0"/>
        <v>360</v>
      </c>
      <c r="M24" s="228">
        <f>SUM(M10:M11)</f>
        <v>32646</v>
      </c>
      <c r="N24" s="228">
        <f t="shared" si="0"/>
        <v>12000</v>
      </c>
      <c r="O24" s="228">
        <f t="shared" si="0"/>
        <v>36940.33</v>
      </c>
      <c r="P24" s="228">
        <f t="shared" si="0"/>
        <v>6000</v>
      </c>
      <c r="Q24" s="228">
        <f t="shared" si="0"/>
        <v>168</v>
      </c>
    </row>
    <row r="25" spans="2:11" ht="22.5" thickTop="1">
      <c r="B25" s="217"/>
      <c r="C25" s="217"/>
      <c r="D25" s="217"/>
      <c r="E25" s="217"/>
      <c r="F25" s="217"/>
      <c r="G25" s="217"/>
      <c r="H25" s="217"/>
      <c r="I25" s="217"/>
      <c r="J25" s="217"/>
      <c r="K25" s="217"/>
    </row>
    <row r="26" spans="2:7" ht="21.75">
      <c r="B26" s="217"/>
      <c r="C26" s="217"/>
      <c r="D26" s="217"/>
      <c r="E26" s="217"/>
      <c r="F26" s="217"/>
      <c r="G26" s="217"/>
    </row>
    <row r="27" spans="2:7" ht="21.75">
      <c r="B27" s="217"/>
      <c r="C27" s="217"/>
      <c r="D27" s="217"/>
      <c r="E27" s="217"/>
      <c r="F27" s="217"/>
      <c r="G27" s="217"/>
    </row>
    <row r="28" spans="2:11" ht="21.75">
      <c r="B28" s="217"/>
      <c r="C28" s="217"/>
      <c r="D28" s="217"/>
      <c r="E28" s="217"/>
      <c r="F28" s="217"/>
      <c r="G28" s="217"/>
      <c r="K28" s="213"/>
    </row>
    <row r="29" spans="2:7" ht="21.75">
      <c r="B29" s="217"/>
      <c r="C29" s="217"/>
      <c r="D29" s="217"/>
      <c r="E29" s="217"/>
      <c r="F29" s="217"/>
      <c r="G29" s="217"/>
    </row>
    <row r="30" spans="2:7" ht="21.75">
      <c r="B30" s="217"/>
      <c r="C30" s="217"/>
      <c r="D30" s="217"/>
      <c r="E30" s="217"/>
      <c r="F30" s="217"/>
      <c r="G30" s="217"/>
    </row>
    <row r="31" spans="2:7" ht="21.75">
      <c r="B31" s="217"/>
      <c r="C31" s="217"/>
      <c r="D31" s="217"/>
      <c r="E31" s="217"/>
      <c r="F31" s="217"/>
      <c r="G31" s="217"/>
    </row>
    <row r="32" spans="2:7" ht="21.75">
      <c r="B32" s="217"/>
      <c r="C32" s="217"/>
      <c r="D32" s="217"/>
      <c r="E32" s="217"/>
      <c r="F32" s="217"/>
      <c r="G32" s="217"/>
    </row>
    <row r="33" spans="2:7" ht="21.75">
      <c r="B33" s="217"/>
      <c r="C33" s="217"/>
      <c r="D33" s="217"/>
      <c r="E33" s="217"/>
      <c r="F33" s="217"/>
      <c r="G33" s="217"/>
    </row>
    <row r="34" spans="2:7" ht="21.75">
      <c r="B34" s="217"/>
      <c r="C34" s="217"/>
      <c r="D34" s="217"/>
      <c r="E34" s="217"/>
      <c r="F34" s="217"/>
      <c r="G34" s="217"/>
    </row>
    <row r="35" spans="2:7" ht="21.75">
      <c r="B35" s="217"/>
      <c r="C35" s="217"/>
      <c r="D35" s="217"/>
      <c r="E35" s="217"/>
      <c r="F35" s="217"/>
      <c r="G35" s="217"/>
    </row>
    <row r="36" spans="2:7" ht="21.75">
      <c r="B36" s="217"/>
      <c r="C36" s="217"/>
      <c r="D36" s="217"/>
      <c r="E36" s="217"/>
      <c r="F36" s="217"/>
      <c r="G36" s="217"/>
    </row>
    <row r="37" spans="2:7" ht="21.75">
      <c r="B37" s="217"/>
      <c r="C37" s="217"/>
      <c r="D37" s="217"/>
      <c r="E37" s="217"/>
      <c r="F37" s="217"/>
      <c r="G37" s="217"/>
    </row>
    <row r="38" spans="2:7" ht="21.75">
      <c r="B38" s="217"/>
      <c r="C38" s="217"/>
      <c r="D38" s="217"/>
      <c r="E38" s="217"/>
      <c r="F38" s="217"/>
      <c r="G38" s="217"/>
    </row>
    <row r="39" spans="2:7" ht="21.75">
      <c r="B39" s="217"/>
      <c r="C39" s="217"/>
      <c r="D39" s="217"/>
      <c r="E39" s="217"/>
      <c r="F39" s="217"/>
      <c r="G39" s="217"/>
    </row>
    <row r="40" spans="2:7" ht="21.75">
      <c r="B40" s="217"/>
      <c r="C40" s="217"/>
      <c r="D40" s="217"/>
      <c r="E40" s="217"/>
      <c r="F40" s="217"/>
      <c r="G40" s="217"/>
    </row>
    <row r="41" spans="2:7" ht="21.75">
      <c r="B41" s="217"/>
      <c r="C41" s="217"/>
      <c r="D41" s="217"/>
      <c r="E41" s="217"/>
      <c r="F41" s="217"/>
      <c r="G41" s="217"/>
    </row>
    <row r="42" spans="2:7" ht="21.75">
      <c r="B42" s="217"/>
      <c r="C42" s="217"/>
      <c r="D42" s="217"/>
      <c r="E42" s="217"/>
      <c r="F42" s="217"/>
      <c r="G42" s="217"/>
    </row>
  </sheetData>
  <sheetProtection/>
  <mergeCells count="1">
    <mergeCell ref="A1:O1"/>
  </mergeCells>
  <printOptions/>
  <pageMargins left="0.3" right="0.13" top="0.3" bottom="0.4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0" sqref="H10"/>
    </sheetView>
  </sheetViews>
  <sheetFormatPr defaultColWidth="9.140625" defaultRowHeight="21.75"/>
  <cols>
    <col min="3" max="4" width="13.421875" style="0" customWidth="1"/>
    <col min="5" max="5" width="15.00390625" style="0" customWidth="1"/>
    <col min="6" max="6" width="16.140625" style="0" customWidth="1"/>
    <col min="7" max="7" width="18.140625" style="0" customWidth="1"/>
    <col min="8" max="8" width="16.8515625" style="0" customWidth="1"/>
  </cols>
  <sheetData>
    <row r="1" spans="3:8" ht="21.75">
      <c r="C1" s="256" t="s">
        <v>213</v>
      </c>
      <c r="E1" s="304" t="s">
        <v>256</v>
      </c>
      <c r="F1" s="304" t="s">
        <v>214</v>
      </c>
      <c r="G1" s="304" t="s">
        <v>57</v>
      </c>
      <c r="H1" s="304" t="s">
        <v>57</v>
      </c>
    </row>
    <row r="2" spans="1:8" s="217" customFormat="1" ht="27" customHeight="1">
      <c r="A2" s="257" t="s">
        <v>9</v>
      </c>
      <c r="C2" s="255">
        <v>4297025.02</v>
      </c>
      <c r="E2" s="217">
        <v>864182.58</v>
      </c>
      <c r="F2" s="217">
        <v>21680315.8</v>
      </c>
      <c r="H2" s="217">
        <f>SUM(C2:G2)</f>
        <v>26841523.4</v>
      </c>
    </row>
    <row r="3" spans="1:8" s="217" customFormat="1" ht="21.75">
      <c r="A3" s="257" t="s">
        <v>257</v>
      </c>
      <c r="C3" s="217">
        <v>55694.5</v>
      </c>
      <c r="F3" s="217">
        <v>3547350.48</v>
      </c>
      <c r="H3" s="217">
        <f>SUM(C3:F3)</f>
        <v>3603044.98</v>
      </c>
    </row>
    <row r="4" s="217" customFormat="1" ht="21.75">
      <c r="A4" s="257"/>
    </row>
    <row r="5" spans="1:3" s="217" customFormat="1" ht="21.75">
      <c r="A5" s="257"/>
      <c r="C5" s="217">
        <v>0</v>
      </c>
    </row>
    <row r="6" spans="1:6" s="217" customFormat="1" ht="21.75">
      <c r="A6" s="257" t="s">
        <v>224</v>
      </c>
      <c r="C6" s="217">
        <f>SUM(C2:C5)</f>
        <v>4352719.52</v>
      </c>
      <c r="D6" s="217">
        <f>SUM(D2:D3)</f>
        <v>0</v>
      </c>
      <c r="F6" s="217">
        <f>SUM(F2:F5)</f>
        <v>25227666.28</v>
      </c>
    </row>
    <row r="7" spans="1:8" s="217" customFormat="1" ht="23.25">
      <c r="A7" s="257" t="s">
        <v>258</v>
      </c>
      <c r="C7" s="217">
        <v>1206115.41</v>
      </c>
      <c r="E7" s="217">
        <v>0</v>
      </c>
      <c r="F7" s="217">
        <v>559835</v>
      </c>
      <c r="G7" s="294">
        <v>0</v>
      </c>
      <c r="H7" s="217">
        <f>SUM(C7:F7)</f>
        <v>1765950.41</v>
      </c>
    </row>
    <row r="8" s="217" customFormat="1" ht="21.75">
      <c r="A8" s="257"/>
    </row>
    <row r="9" s="217" customFormat="1" ht="21.75">
      <c r="A9" s="257"/>
    </row>
    <row r="10" spans="1:8" s="217" customFormat="1" ht="21.75">
      <c r="A10" s="257" t="s">
        <v>259</v>
      </c>
      <c r="C10" s="217">
        <f>SUM(C6-C7)</f>
        <v>3146604.1099999994</v>
      </c>
      <c r="D10" s="217">
        <f>SUM(D6-D7)</f>
        <v>0</v>
      </c>
      <c r="E10" s="217">
        <f>SUM(E2-E7)</f>
        <v>864182.58</v>
      </c>
      <c r="F10" s="217">
        <f>SUM(F6-F7)</f>
        <v>24667831.28</v>
      </c>
      <c r="G10" s="217">
        <f>SUM(G6-G7)</f>
        <v>0</v>
      </c>
      <c r="H10" s="217">
        <f>SUM(C10:F10)</f>
        <v>28678617.97</v>
      </c>
    </row>
    <row r="11" s="217" customFormat="1" ht="21.75"/>
    <row r="12" s="217" customFormat="1" ht="21.75"/>
    <row r="13" s="217" customFormat="1" ht="21.75"/>
    <row r="14" s="217" customFormat="1" ht="21.75"/>
    <row r="15" s="217" customFormat="1" ht="21.75"/>
    <row r="16" s="217" customFormat="1" ht="21.75"/>
    <row r="17" s="217" customFormat="1" ht="21.75"/>
    <row r="18" s="217" customFormat="1" ht="21.75"/>
    <row r="19" s="217" customFormat="1" ht="21.75"/>
    <row r="20" s="217" customFormat="1" ht="21.75"/>
    <row r="21" s="217" customFormat="1" ht="21.75"/>
    <row r="22" s="217" customFormat="1" ht="21.75"/>
    <row r="23" s="217" customFormat="1" ht="21.75"/>
    <row r="24" s="217" customFormat="1" ht="21.75"/>
    <row r="25" s="217" customFormat="1" ht="21.75"/>
    <row r="26" s="217" customFormat="1" ht="21.75"/>
    <row r="27" s="217" customFormat="1" ht="21.75"/>
    <row r="28" s="217" customFormat="1" ht="21.75"/>
  </sheetData>
  <sheetProtection/>
  <printOptions/>
  <pageMargins left="1.08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8" sqref="C8"/>
    </sheetView>
  </sheetViews>
  <sheetFormatPr defaultColWidth="9.140625" defaultRowHeight="21.75"/>
  <cols>
    <col min="2" max="2" width="36.421875" style="0" customWidth="1"/>
    <col min="3" max="3" width="19.57421875" style="0" customWidth="1"/>
    <col min="4" max="4" width="21.140625" style="0" customWidth="1"/>
  </cols>
  <sheetData>
    <row r="1" ht="23.25">
      <c r="D1" s="386" t="s">
        <v>568</v>
      </c>
    </row>
    <row r="2" spans="1:5" s="1" customFormat="1" ht="23.25">
      <c r="A2" s="404" t="s">
        <v>503</v>
      </c>
      <c r="B2" s="404"/>
      <c r="C2" s="404"/>
      <c r="D2" s="404"/>
      <c r="E2" s="404"/>
    </row>
    <row r="3" spans="1:5" s="1" customFormat="1" ht="23.25">
      <c r="A3" s="404" t="s">
        <v>582</v>
      </c>
      <c r="B3" s="404"/>
      <c r="C3" s="404"/>
      <c r="D3" s="404"/>
      <c r="E3" s="404"/>
    </row>
    <row r="4" spans="1:5" s="1" customFormat="1" ht="23.25">
      <c r="A4" s="410" t="s">
        <v>79</v>
      </c>
      <c r="B4" s="410"/>
      <c r="C4" s="410"/>
      <c r="D4" s="410"/>
      <c r="E4" s="410"/>
    </row>
    <row r="5" spans="1:5" s="1" customFormat="1" ht="23.25">
      <c r="A5" s="12" t="s">
        <v>5</v>
      </c>
      <c r="B5" s="6"/>
      <c r="C5" s="12"/>
      <c r="D5" s="12" t="s">
        <v>80</v>
      </c>
      <c r="E5" s="6"/>
    </row>
    <row r="6" spans="1:5" s="1" customFormat="1" ht="23.25">
      <c r="A6" s="348" t="s">
        <v>479</v>
      </c>
      <c r="B6" s="6"/>
      <c r="C6" s="69"/>
      <c r="D6" s="401">
        <v>1682.31</v>
      </c>
      <c r="E6" s="6"/>
    </row>
    <row r="7" spans="1:4" s="1" customFormat="1" ht="23.25">
      <c r="A7" s="5" t="s">
        <v>591</v>
      </c>
      <c r="B7" s="2"/>
      <c r="C7" s="36"/>
      <c r="D7" s="261">
        <v>167640</v>
      </c>
    </row>
    <row r="8" spans="1:5" s="1" customFormat="1" ht="23.25">
      <c r="A8" s="5" t="s">
        <v>477</v>
      </c>
      <c r="B8" s="2"/>
      <c r="C8" s="37"/>
      <c r="D8" s="262">
        <f>13149.96+2009.87</f>
        <v>15159.829999999998</v>
      </c>
      <c r="E8" s="241"/>
    </row>
    <row r="9" spans="1:5" s="1" customFormat="1" ht="23.25">
      <c r="A9" s="5" t="s">
        <v>476</v>
      </c>
      <c r="B9" s="2"/>
      <c r="C9" s="37"/>
      <c r="D9" s="262">
        <v>2411.85</v>
      </c>
      <c r="E9" s="242"/>
    </row>
    <row r="10" spans="1:4" s="1" customFormat="1" ht="23.25">
      <c r="A10" s="5" t="s">
        <v>475</v>
      </c>
      <c r="B10" s="2"/>
      <c r="C10" s="37"/>
      <c r="D10" s="263">
        <v>1042146.51</v>
      </c>
    </row>
    <row r="11" spans="1:4" s="1" customFormat="1" ht="23.25">
      <c r="A11" s="5" t="s">
        <v>474</v>
      </c>
      <c r="B11" s="2"/>
      <c r="C11" s="37"/>
      <c r="D11" s="263">
        <v>0</v>
      </c>
    </row>
    <row r="12" spans="1:4" s="1" customFormat="1" ht="23.25">
      <c r="A12" s="5" t="s">
        <v>473</v>
      </c>
      <c r="B12" s="2"/>
      <c r="C12" s="37"/>
      <c r="D12" s="263">
        <v>0</v>
      </c>
    </row>
    <row r="13" spans="1:4" s="1" customFormat="1" ht="23.25">
      <c r="A13" s="5" t="s">
        <v>472</v>
      </c>
      <c r="B13" s="2"/>
      <c r="C13" s="37"/>
      <c r="D13" s="263">
        <v>0</v>
      </c>
    </row>
    <row r="14" spans="1:4" s="1" customFormat="1" ht="23.25">
      <c r="A14" s="5" t="s">
        <v>471</v>
      </c>
      <c r="B14" s="2"/>
      <c r="C14" s="37"/>
      <c r="D14" s="263">
        <v>0</v>
      </c>
    </row>
    <row r="15" spans="1:4" s="1" customFormat="1" ht="23.25">
      <c r="A15" s="5" t="s">
        <v>480</v>
      </c>
      <c r="B15" s="2"/>
      <c r="C15" s="37"/>
      <c r="D15" s="263">
        <v>34483</v>
      </c>
    </row>
    <row r="16" spans="1:4" s="1" customFormat="1" ht="23.25">
      <c r="A16" s="5" t="s">
        <v>481</v>
      </c>
      <c r="B16" s="2"/>
      <c r="C16" s="37"/>
      <c r="D16" s="263">
        <v>50</v>
      </c>
    </row>
    <row r="17" spans="1:4" s="1" customFormat="1" ht="23.25">
      <c r="A17" s="5" t="s">
        <v>482</v>
      </c>
      <c r="B17" s="2"/>
      <c r="C17" s="37"/>
      <c r="D17" s="263">
        <v>127596</v>
      </c>
    </row>
    <row r="18" spans="1:4" s="1" customFormat="1" ht="23.25">
      <c r="A18" s="5" t="s">
        <v>563</v>
      </c>
      <c r="B18" s="2"/>
      <c r="C18" s="37"/>
      <c r="D18" s="401">
        <v>4977</v>
      </c>
    </row>
    <row r="19" spans="1:4" s="1" customFormat="1" ht="23.25">
      <c r="A19" s="5"/>
      <c r="B19" s="2"/>
      <c r="C19" s="37"/>
      <c r="D19" s="263"/>
    </row>
    <row r="20" spans="1:4" s="1" customFormat="1" ht="27.75" customHeight="1" thickBot="1">
      <c r="A20" s="11" t="s">
        <v>70</v>
      </c>
      <c r="B20" s="2"/>
      <c r="C20" s="35"/>
      <c r="D20" s="264">
        <f>SUM(D6:D19)</f>
        <v>1396146.5</v>
      </c>
    </row>
    <row r="21" spans="1:5" s="1" customFormat="1" ht="24" thickTop="1">
      <c r="A21" s="11"/>
      <c r="B21" s="5"/>
      <c r="C21" s="35"/>
      <c r="D21" s="82"/>
      <c r="E21" s="3"/>
    </row>
    <row r="22" spans="1:5" s="1" customFormat="1" ht="22.5" customHeight="1">
      <c r="A22" s="11"/>
      <c r="B22" s="2"/>
      <c r="C22" s="35"/>
      <c r="D22" s="265"/>
      <c r="E22" s="149" t="s">
        <v>567</v>
      </c>
    </row>
    <row r="23" spans="1:5" s="3" customFormat="1" ht="23.25">
      <c r="A23" s="404" t="s">
        <v>503</v>
      </c>
      <c r="B23" s="404"/>
      <c r="C23" s="404"/>
      <c r="D23" s="404"/>
      <c r="E23" s="404"/>
    </row>
    <row r="24" spans="1:5" s="3" customFormat="1" ht="23.25">
      <c r="A24" s="404" t="s">
        <v>581</v>
      </c>
      <c r="B24" s="404"/>
      <c r="C24" s="404"/>
      <c r="D24" s="404"/>
      <c r="E24" s="404"/>
    </row>
    <row r="25" spans="1:5" s="3" customFormat="1" ht="23.25">
      <c r="A25" s="410" t="s">
        <v>483</v>
      </c>
      <c r="B25" s="410"/>
      <c r="C25" s="410"/>
      <c r="D25" s="410"/>
      <c r="E25" s="410"/>
    </row>
    <row r="26" spans="1:5" s="3" customFormat="1" ht="23.25">
      <c r="A26" s="12" t="s">
        <v>5</v>
      </c>
      <c r="B26" s="6"/>
      <c r="C26" s="12"/>
      <c r="D26" s="12" t="s">
        <v>80</v>
      </c>
      <c r="E26" s="6"/>
    </row>
    <row r="27" spans="1:4" s="3" customFormat="1" ht="23.25">
      <c r="A27" s="5" t="s">
        <v>29</v>
      </c>
      <c r="B27" s="37"/>
      <c r="C27" s="263"/>
      <c r="D27" s="263">
        <v>300</v>
      </c>
    </row>
    <row r="28" spans="1:4" s="3" customFormat="1" ht="23.25">
      <c r="A28" s="5" t="s">
        <v>32</v>
      </c>
      <c r="B28" s="37"/>
      <c r="C28" s="263"/>
      <c r="D28" s="263">
        <f>164730-160507</f>
        <v>4223</v>
      </c>
    </row>
    <row r="29" spans="1:4" s="3" customFormat="1" ht="23.25">
      <c r="A29" s="5" t="s">
        <v>33</v>
      </c>
      <c r="B29" s="37"/>
      <c r="C29" s="263"/>
      <c r="D29" s="263">
        <v>0</v>
      </c>
    </row>
    <row r="30" spans="1:4" s="3" customFormat="1" ht="23.25">
      <c r="A30" s="5" t="s">
        <v>34</v>
      </c>
      <c r="B30" s="37"/>
      <c r="C30" s="263"/>
      <c r="D30" s="263">
        <v>0</v>
      </c>
    </row>
    <row r="31" spans="1:4" s="3" customFormat="1" ht="23.25">
      <c r="A31" s="5" t="s">
        <v>40</v>
      </c>
      <c r="B31" s="37"/>
      <c r="C31" s="263"/>
      <c r="D31" s="263">
        <f>1063600-714000</f>
        <v>349600</v>
      </c>
    </row>
    <row r="32" spans="1:4" s="3" customFormat="1" ht="23.25">
      <c r="A32" s="5"/>
      <c r="B32" s="37"/>
      <c r="C32" s="263"/>
      <c r="D32" s="263"/>
    </row>
    <row r="33" spans="1:4" s="3" customFormat="1" ht="23.25">
      <c r="A33" s="5"/>
      <c r="B33" s="37"/>
      <c r="C33" s="263"/>
      <c r="D33" s="263"/>
    </row>
    <row r="34" spans="1:4" s="3" customFormat="1" ht="24" thickBot="1">
      <c r="A34" s="11" t="s">
        <v>574</v>
      </c>
      <c r="B34" s="5"/>
      <c r="C34" s="31"/>
      <c r="D34" s="264">
        <f>SUM(D27:D33)</f>
        <v>354123</v>
      </c>
    </row>
    <row r="35" ht="22.5" thickTop="1"/>
  </sheetData>
  <sheetProtection/>
  <mergeCells count="6">
    <mergeCell ref="A2:E2"/>
    <mergeCell ref="A3:E3"/>
    <mergeCell ref="A4:E4"/>
    <mergeCell ref="A23:E23"/>
    <mergeCell ref="A24:E24"/>
    <mergeCell ref="A25:E25"/>
  </mergeCells>
  <printOptions/>
  <pageMargins left="0.7" right="0.7" top="0.18" bottom="0.23" header="0.18" footer="0.21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7"/>
  <sheetViews>
    <sheetView zoomScale="120" zoomScaleNormal="120" zoomScaleSheetLayoutView="100" zoomScalePageLayoutView="0" workbookViewId="0" topLeftCell="A64">
      <selection activeCell="D77" sqref="D77"/>
    </sheetView>
  </sheetViews>
  <sheetFormatPr defaultColWidth="9.140625" defaultRowHeight="21.75"/>
  <cols>
    <col min="1" max="3" width="14.28125" style="6" customWidth="1"/>
    <col min="4" max="4" width="16.421875" style="40" customWidth="1"/>
    <col min="5" max="5" width="30.421875" style="6" customWidth="1"/>
    <col min="6" max="6" width="9.7109375" style="6" customWidth="1"/>
    <col min="7" max="7" width="17.8515625" style="40" customWidth="1"/>
    <col min="8" max="8" width="41.421875" style="6" customWidth="1"/>
    <col min="9" max="9" width="6.57421875" style="30" customWidth="1"/>
    <col min="10" max="10" width="12.57421875" style="6" customWidth="1"/>
    <col min="11" max="11" width="4.7109375" style="6" customWidth="1"/>
    <col min="12" max="16384" width="9.140625" style="6" customWidth="1"/>
  </cols>
  <sheetData>
    <row r="2" spans="1:7" ht="21" customHeight="1">
      <c r="A2" s="415" t="s">
        <v>484</v>
      </c>
      <c r="B2" s="415"/>
      <c r="C2" s="415"/>
      <c r="D2" s="415"/>
      <c r="E2" s="415"/>
      <c r="F2" s="415"/>
      <c r="G2" s="415"/>
    </row>
    <row r="3" spans="1:7" ht="27" customHeight="1">
      <c r="A3" s="415" t="s">
        <v>485</v>
      </c>
      <c r="B3" s="415"/>
      <c r="C3" s="415"/>
      <c r="D3" s="415"/>
      <c r="E3" s="415"/>
      <c r="F3" s="415"/>
      <c r="G3" s="415"/>
    </row>
    <row r="4" spans="1:7" ht="21" customHeight="1">
      <c r="A4" s="148"/>
      <c r="B4" s="148"/>
      <c r="C4" s="148"/>
      <c r="D4" s="150"/>
      <c r="E4" s="148"/>
      <c r="F4" s="148" t="s">
        <v>486</v>
      </c>
      <c r="G4" s="150"/>
    </row>
    <row r="5" spans="1:7" ht="27.75" customHeight="1">
      <c r="A5" s="415" t="s">
        <v>0</v>
      </c>
      <c r="B5" s="415"/>
      <c r="C5" s="415"/>
      <c r="D5" s="415"/>
      <c r="E5" s="415"/>
      <c r="F5" s="415"/>
      <c r="G5" s="415"/>
    </row>
    <row r="6" spans="1:7" ht="26.25" customHeight="1" thickBot="1">
      <c r="A6" s="149"/>
      <c r="B6" s="149"/>
      <c r="C6" s="149"/>
      <c r="D6" s="150"/>
      <c r="E6" s="148" t="s">
        <v>592</v>
      </c>
      <c r="F6" s="147"/>
      <c r="G6" s="150"/>
    </row>
    <row r="7" spans="1:7" ht="19.5" customHeight="1" thickTop="1">
      <c r="A7" s="411" t="s">
        <v>1</v>
      </c>
      <c r="B7" s="412"/>
      <c r="C7" s="412"/>
      <c r="D7" s="413"/>
      <c r="E7" s="41"/>
      <c r="F7" s="42"/>
      <c r="G7" s="238" t="s">
        <v>2</v>
      </c>
    </row>
    <row r="8" spans="1:7" ht="21" customHeight="1">
      <c r="A8" s="43" t="s">
        <v>3</v>
      </c>
      <c r="B8" s="43" t="s">
        <v>487</v>
      </c>
      <c r="C8" s="43" t="s">
        <v>488</v>
      </c>
      <c r="D8" s="239" t="s">
        <v>4</v>
      </c>
      <c r="E8" s="44" t="s">
        <v>5</v>
      </c>
      <c r="F8" s="26" t="s">
        <v>6</v>
      </c>
      <c r="G8" s="28" t="s">
        <v>4</v>
      </c>
    </row>
    <row r="9" spans="1:7" ht="21" customHeight="1">
      <c r="A9" s="28"/>
      <c r="B9" s="28" t="s">
        <v>490</v>
      </c>
      <c r="C9" s="28" t="s">
        <v>489</v>
      </c>
      <c r="D9" s="28" t="s">
        <v>489</v>
      </c>
      <c r="E9" s="44"/>
      <c r="F9" s="26"/>
      <c r="G9" s="28" t="s">
        <v>7</v>
      </c>
    </row>
    <row r="10" spans="1:7" ht="19.5" customHeight="1" thickBot="1">
      <c r="A10" s="45" t="s">
        <v>7</v>
      </c>
      <c r="B10" s="45" t="s">
        <v>491</v>
      </c>
      <c r="C10" s="45"/>
      <c r="D10" s="240"/>
      <c r="E10" s="46"/>
      <c r="F10" s="47" t="s">
        <v>8</v>
      </c>
      <c r="G10" s="56"/>
    </row>
    <row r="11" spans="1:8" ht="21" customHeight="1" thickTop="1">
      <c r="A11" s="266"/>
      <c r="B11" s="268"/>
      <c r="C11" s="268"/>
      <c r="D11" s="267">
        <v>24735214.08</v>
      </c>
      <c r="E11" s="49" t="s">
        <v>9</v>
      </c>
      <c r="F11" s="42"/>
      <c r="G11" s="68">
        <v>26841523.4</v>
      </c>
      <c r="H11" s="402"/>
    </row>
    <row r="12" spans="1:7" ht="21" customHeight="1">
      <c r="A12" s="268"/>
      <c r="B12" s="268"/>
      <c r="C12" s="268"/>
      <c r="D12" s="269"/>
      <c r="E12" s="50" t="s">
        <v>99</v>
      </c>
      <c r="F12" s="26"/>
      <c r="G12" s="68"/>
    </row>
    <row r="13" spans="1:7" ht="21" customHeight="1">
      <c r="A13" s="270">
        <v>165000</v>
      </c>
      <c r="B13" s="270"/>
      <c r="C13" s="270">
        <f>SUM(A13:B13)</f>
        <v>165000</v>
      </c>
      <c r="D13" s="398">
        <v>50212.78</v>
      </c>
      <c r="E13" s="399" t="s">
        <v>10</v>
      </c>
      <c r="F13" s="26" t="s">
        <v>11</v>
      </c>
      <c r="G13" s="388">
        <v>50212.78</v>
      </c>
    </row>
    <row r="14" spans="1:7" ht="21" customHeight="1">
      <c r="A14" s="270">
        <v>72500</v>
      </c>
      <c r="B14" s="270"/>
      <c r="C14" s="270">
        <f aca="true" t="shared" si="0" ref="C14:C20">SUM(A14:B14)</f>
        <v>72500</v>
      </c>
      <c r="D14" s="388">
        <f>2002+409.2</f>
        <v>2411.2</v>
      </c>
      <c r="E14" s="399" t="s">
        <v>12</v>
      </c>
      <c r="F14" s="26" t="s">
        <v>13</v>
      </c>
      <c r="G14" s="388">
        <f>40+349.2+20</f>
        <v>409.2</v>
      </c>
    </row>
    <row r="15" spans="1:7" ht="21" customHeight="1">
      <c r="A15" s="270">
        <v>175000</v>
      </c>
      <c r="B15" s="270"/>
      <c r="C15" s="270">
        <f t="shared" si="0"/>
        <v>175000</v>
      </c>
      <c r="D15" s="388">
        <v>2036.07</v>
      </c>
      <c r="E15" s="399" t="s">
        <v>14</v>
      </c>
      <c r="F15" s="26" t="s">
        <v>15</v>
      </c>
      <c r="G15" s="388">
        <v>0</v>
      </c>
    </row>
    <row r="16" spans="1:7" ht="21" customHeight="1">
      <c r="A16" s="270">
        <v>0</v>
      </c>
      <c r="B16" s="270"/>
      <c r="C16" s="270">
        <f t="shared" si="0"/>
        <v>0</v>
      </c>
      <c r="D16" s="388"/>
      <c r="E16" s="399" t="s">
        <v>16</v>
      </c>
      <c r="F16" s="26" t="s">
        <v>17</v>
      </c>
      <c r="G16" s="388"/>
    </row>
    <row r="17" spans="1:7" ht="21" customHeight="1">
      <c r="A17" s="270">
        <v>130000</v>
      </c>
      <c r="B17" s="270"/>
      <c r="C17" s="270">
        <f t="shared" si="0"/>
        <v>130000</v>
      </c>
      <c r="D17" s="388">
        <v>200</v>
      </c>
      <c r="E17" s="399" t="s">
        <v>18</v>
      </c>
      <c r="F17" s="26" t="s">
        <v>19</v>
      </c>
      <c r="G17" s="388">
        <v>0</v>
      </c>
    </row>
    <row r="18" spans="1:7" ht="21" customHeight="1">
      <c r="A18" s="270">
        <v>0</v>
      </c>
      <c r="B18" s="270"/>
      <c r="C18" s="270">
        <f t="shared" si="0"/>
        <v>0</v>
      </c>
      <c r="D18" s="388"/>
      <c r="E18" s="399" t="s">
        <v>20</v>
      </c>
      <c r="F18" s="26" t="s">
        <v>21</v>
      </c>
      <c r="G18" s="388"/>
    </row>
    <row r="19" spans="1:7" ht="21" customHeight="1">
      <c r="A19" s="270">
        <v>14057500</v>
      </c>
      <c r="B19" s="270"/>
      <c r="C19" s="270">
        <f t="shared" si="0"/>
        <v>14057500</v>
      </c>
      <c r="D19" s="388">
        <f>3719763.76+1194047.28</f>
        <v>4913811.04</v>
      </c>
      <c r="E19" s="399" t="s">
        <v>22</v>
      </c>
      <c r="F19" s="26" t="s">
        <v>23</v>
      </c>
      <c r="G19" s="388">
        <v>1194047.28</v>
      </c>
    </row>
    <row r="20" spans="1:7" ht="21" customHeight="1">
      <c r="A20" s="270">
        <v>6400000</v>
      </c>
      <c r="B20" s="270"/>
      <c r="C20" s="270">
        <f t="shared" si="0"/>
        <v>6400000</v>
      </c>
      <c r="D20" s="388">
        <f>1577727+2331954</f>
        <v>3909681</v>
      </c>
      <c r="E20" s="392" t="s">
        <v>144</v>
      </c>
      <c r="F20" s="26" t="s">
        <v>25</v>
      </c>
      <c r="G20" s="388">
        <f>9000+592000+282492+1448462</f>
        <v>2331954</v>
      </c>
    </row>
    <row r="21" spans="1:7" ht="21" customHeight="1">
      <c r="A21" s="270">
        <v>0</v>
      </c>
      <c r="B21" s="270">
        <f>SUM(D21)</f>
        <v>2939000</v>
      </c>
      <c r="C21" s="270">
        <f>SUM(D21)</f>
        <v>2939000</v>
      </c>
      <c r="D21" s="388">
        <f>2918000+21000</f>
        <v>2939000</v>
      </c>
      <c r="E21" s="399" t="s">
        <v>116</v>
      </c>
      <c r="F21" s="26" t="s">
        <v>25</v>
      </c>
      <c r="G21" s="388">
        <v>21000</v>
      </c>
    </row>
    <row r="22" spans="1:7" ht="21" customHeight="1">
      <c r="A22" s="270"/>
      <c r="B22" s="270"/>
      <c r="C22" s="270"/>
      <c r="D22" s="270"/>
      <c r="E22" s="53"/>
      <c r="F22" s="26"/>
      <c r="G22" s="68"/>
    </row>
    <row r="23" spans="1:7" ht="21" customHeight="1">
      <c r="A23" s="270"/>
      <c r="B23" s="270"/>
      <c r="C23" s="270"/>
      <c r="D23" s="270"/>
      <c r="E23" s="53"/>
      <c r="F23" s="26"/>
      <c r="G23" s="68"/>
    </row>
    <row r="24" spans="1:7" ht="21" customHeight="1">
      <c r="A24" s="271"/>
      <c r="B24" s="270"/>
      <c r="C24" s="270"/>
      <c r="D24" s="270"/>
      <c r="E24" s="53"/>
      <c r="F24" s="26"/>
      <c r="G24" s="68"/>
    </row>
    <row r="25" spans="1:7" ht="21" customHeight="1" thickBot="1">
      <c r="A25" s="272">
        <f>SUM(A13:A21)</f>
        <v>21000000</v>
      </c>
      <c r="B25" s="273"/>
      <c r="C25" s="273">
        <f>SUM(C13:C24)</f>
        <v>23939000</v>
      </c>
      <c r="D25" s="273">
        <f>SUM(D13:D21)</f>
        <v>11817352.09</v>
      </c>
      <c r="E25" s="13"/>
      <c r="F25" s="26"/>
      <c r="G25" s="173">
        <f>SUM(G13:G21)</f>
        <v>3597623.26</v>
      </c>
    </row>
    <row r="26" spans="1:8" ht="22.5" customHeight="1" thickTop="1">
      <c r="A26" s="269"/>
      <c r="B26" s="269"/>
      <c r="C26" s="269"/>
      <c r="D26" s="396">
        <f>1612500+567900</f>
        <v>2180400</v>
      </c>
      <c r="E26" s="151" t="s">
        <v>113</v>
      </c>
      <c r="F26" s="26"/>
      <c r="G26" s="388">
        <v>567900</v>
      </c>
      <c r="H26" s="295">
        <f>SUM(G25-H25)</f>
        <v>3597623.26</v>
      </c>
    </row>
    <row r="27" spans="1:7" ht="21" customHeight="1">
      <c r="A27" s="269"/>
      <c r="B27" s="269"/>
      <c r="C27" s="269"/>
      <c r="D27" s="396">
        <f>44800+2500</f>
        <v>47300</v>
      </c>
      <c r="E27" s="397" t="s">
        <v>89</v>
      </c>
      <c r="F27" s="62"/>
      <c r="G27" s="388">
        <v>2500</v>
      </c>
    </row>
    <row r="28" spans="1:7" ht="21" customHeight="1">
      <c r="A28" s="269"/>
      <c r="B28" s="269"/>
      <c r="C28" s="269"/>
      <c r="D28" s="396">
        <v>4920</v>
      </c>
      <c r="E28" s="397" t="s">
        <v>42</v>
      </c>
      <c r="F28" s="26" t="s">
        <v>43</v>
      </c>
      <c r="G28" s="388">
        <v>0</v>
      </c>
    </row>
    <row r="29" spans="1:7" ht="21" customHeight="1">
      <c r="A29" s="269"/>
      <c r="B29" s="269"/>
      <c r="C29" s="269"/>
      <c r="D29" s="396">
        <v>15200</v>
      </c>
      <c r="E29" s="2" t="s">
        <v>572</v>
      </c>
      <c r="F29" s="26"/>
      <c r="G29" s="388">
        <v>0</v>
      </c>
    </row>
    <row r="30" spans="1:7" ht="21" customHeight="1">
      <c r="A30" s="269"/>
      <c r="B30" s="269"/>
      <c r="C30" s="269"/>
      <c r="D30" s="396">
        <v>1311450</v>
      </c>
      <c r="E30" s="1" t="s">
        <v>500</v>
      </c>
      <c r="F30" s="26"/>
      <c r="G30" s="388">
        <v>0</v>
      </c>
    </row>
    <row r="31" spans="1:7" ht="21" customHeight="1">
      <c r="A31" s="269"/>
      <c r="B31" s="269"/>
      <c r="C31" s="269"/>
      <c r="D31" s="270">
        <f>SUM(หมายเหุต2!C40)</f>
        <v>182716.19</v>
      </c>
      <c r="E31" s="54" t="s">
        <v>44</v>
      </c>
      <c r="F31" s="26"/>
      <c r="G31" s="68">
        <f>SUM(หมายเหุต2!C19)</f>
        <v>11081.029999999999</v>
      </c>
    </row>
    <row r="32" spans="1:7" ht="21" customHeight="1">
      <c r="A32" s="269"/>
      <c r="B32" s="269"/>
      <c r="C32" s="269"/>
      <c r="D32" s="270"/>
      <c r="E32" s="1"/>
      <c r="F32" s="26"/>
      <c r="G32" s="68"/>
    </row>
    <row r="33" spans="1:7" ht="21" customHeight="1">
      <c r="A33" s="269"/>
      <c r="B33" s="269"/>
      <c r="C33" s="269"/>
      <c r="D33" s="270"/>
      <c r="E33" s="53"/>
      <c r="F33" s="26"/>
      <c r="G33" s="68"/>
    </row>
    <row r="34" spans="1:7" ht="21" customHeight="1">
      <c r="A34" s="269"/>
      <c r="B34" s="269"/>
      <c r="C34" s="269"/>
      <c r="D34" s="270"/>
      <c r="E34" s="53"/>
      <c r="F34" s="26"/>
      <c r="G34" s="68"/>
    </row>
    <row r="35" spans="1:7" ht="21" customHeight="1">
      <c r="A35" s="269"/>
      <c r="B35" s="269"/>
      <c r="C35" s="269"/>
      <c r="D35" s="270"/>
      <c r="E35" s="53"/>
      <c r="F35" s="26"/>
      <c r="G35" s="68"/>
    </row>
    <row r="36" spans="1:7" ht="21" customHeight="1">
      <c r="A36" s="269"/>
      <c r="B36" s="269"/>
      <c r="C36" s="269"/>
      <c r="D36" s="270"/>
      <c r="E36" s="53"/>
      <c r="F36" s="26"/>
      <c r="G36" s="68"/>
    </row>
    <row r="37" spans="1:7" ht="21" customHeight="1">
      <c r="A37" s="269"/>
      <c r="B37" s="269"/>
      <c r="C37" s="269"/>
      <c r="D37" s="270"/>
      <c r="E37" s="53"/>
      <c r="F37" s="26"/>
      <c r="G37" s="68"/>
    </row>
    <row r="38" spans="1:7" ht="21" customHeight="1">
      <c r="A38" s="269"/>
      <c r="B38" s="269"/>
      <c r="C38" s="269"/>
      <c r="D38" s="270"/>
      <c r="E38" s="53"/>
      <c r="F38" s="26"/>
      <c r="G38" s="68"/>
    </row>
    <row r="39" spans="1:7" ht="21" customHeight="1">
      <c r="A39" s="269"/>
      <c r="B39" s="269"/>
      <c r="C39" s="269"/>
      <c r="D39" s="270"/>
      <c r="E39" s="53"/>
      <c r="F39" s="26"/>
      <c r="G39" s="68"/>
    </row>
    <row r="40" spans="1:7" ht="21" customHeight="1">
      <c r="A40" s="269"/>
      <c r="B40" s="269"/>
      <c r="C40" s="269"/>
      <c r="D40" s="270"/>
      <c r="E40" s="53"/>
      <c r="F40" s="26"/>
      <c r="G40" s="68"/>
    </row>
    <row r="41" spans="1:7" ht="21" customHeight="1">
      <c r="A41" s="269"/>
      <c r="B41" s="269"/>
      <c r="C41" s="269"/>
      <c r="D41" s="270"/>
      <c r="E41" s="53"/>
      <c r="F41" s="26"/>
      <c r="G41" s="68"/>
    </row>
    <row r="42" spans="1:7" ht="21" customHeight="1">
      <c r="A42" s="269"/>
      <c r="B42" s="269"/>
      <c r="C42" s="269"/>
      <c r="D42" s="270"/>
      <c r="E42" s="1"/>
      <c r="F42" s="26"/>
      <c r="G42" s="68"/>
    </row>
    <row r="43" spans="1:7" ht="21" customHeight="1">
      <c r="A43" s="269"/>
      <c r="B43" s="269"/>
      <c r="C43" s="269"/>
      <c r="D43" s="274">
        <f>SUM(D26:D33)</f>
        <v>3741986.19</v>
      </c>
      <c r="E43" s="13"/>
      <c r="F43" s="26"/>
      <c r="G43" s="175">
        <f>SUM(G26:G42)</f>
        <v>581481.03</v>
      </c>
    </row>
    <row r="44" spans="1:7" ht="21" customHeight="1" thickBot="1">
      <c r="A44" s="269"/>
      <c r="B44" s="269"/>
      <c r="C44" s="269"/>
      <c r="D44" s="275">
        <f>SUM(D25+D43)</f>
        <v>15559338.28</v>
      </c>
      <c r="E44" s="28" t="s">
        <v>26</v>
      </c>
      <c r="F44" s="56"/>
      <c r="G44" s="176">
        <f>SUM(G25+G43)</f>
        <v>4179104.29</v>
      </c>
    </row>
    <row r="45" spans="1:7" ht="21" customHeight="1" thickTop="1">
      <c r="A45" s="53"/>
      <c r="B45" s="53"/>
      <c r="C45" s="53"/>
      <c r="D45" s="172"/>
      <c r="E45" s="20"/>
      <c r="F45" s="20"/>
      <c r="G45" s="172"/>
    </row>
    <row r="46" spans="1:7" ht="21" customHeight="1">
      <c r="A46" s="53"/>
      <c r="B46" s="53"/>
      <c r="C46" s="53"/>
      <c r="D46" s="172"/>
      <c r="E46" s="20"/>
      <c r="F46" s="20"/>
      <c r="G46" s="172"/>
    </row>
    <row r="47" spans="4:7" ht="21" customHeight="1" thickBot="1">
      <c r="D47" s="177"/>
      <c r="E47" s="55" t="s">
        <v>210</v>
      </c>
      <c r="F47" s="55"/>
      <c r="G47" s="177"/>
    </row>
    <row r="48" spans="1:7" ht="19.5" customHeight="1" thickTop="1">
      <c r="A48" s="411" t="s">
        <v>1</v>
      </c>
      <c r="B48" s="412"/>
      <c r="C48" s="412"/>
      <c r="D48" s="413"/>
      <c r="E48" s="41"/>
      <c r="F48" s="42"/>
      <c r="G48" s="238" t="s">
        <v>2</v>
      </c>
    </row>
    <row r="49" spans="1:7" ht="19.5" customHeight="1">
      <c r="A49" s="43" t="s">
        <v>3</v>
      </c>
      <c r="B49" s="43" t="s">
        <v>487</v>
      </c>
      <c r="C49" s="43" t="s">
        <v>488</v>
      </c>
      <c r="D49" s="20" t="s">
        <v>4</v>
      </c>
      <c r="E49" s="44" t="s">
        <v>5</v>
      </c>
      <c r="F49" s="26" t="s">
        <v>6</v>
      </c>
      <c r="G49" s="28" t="s">
        <v>4</v>
      </c>
    </row>
    <row r="50" spans="1:7" ht="19.5" customHeight="1">
      <c r="A50" s="28"/>
      <c r="B50" s="28" t="s">
        <v>490</v>
      </c>
      <c r="C50" s="28" t="s">
        <v>489</v>
      </c>
      <c r="D50" s="28" t="s">
        <v>489</v>
      </c>
      <c r="E50" s="44"/>
      <c r="F50" s="26"/>
      <c r="G50" s="28" t="s">
        <v>489</v>
      </c>
    </row>
    <row r="51" spans="1:7" ht="19.5" customHeight="1" thickBot="1">
      <c r="A51" s="45" t="s">
        <v>7</v>
      </c>
      <c r="B51" s="45" t="s">
        <v>491</v>
      </c>
      <c r="C51" s="45"/>
      <c r="D51" s="240"/>
      <c r="E51" s="46"/>
      <c r="F51" s="47" t="s">
        <v>8</v>
      </c>
      <c r="G51" s="45"/>
    </row>
    <row r="52" spans="1:7" ht="21" customHeight="1" thickTop="1">
      <c r="A52" s="57"/>
      <c r="B52" s="57"/>
      <c r="C52" s="57"/>
      <c r="D52" s="179"/>
      <c r="E52" s="58" t="s">
        <v>27</v>
      </c>
      <c r="F52" s="59"/>
      <c r="G52" s="293"/>
    </row>
    <row r="53" spans="1:7" ht="21" customHeight="1">
      <c r="A53" s="68">
        <v>696116</v>
      </c>
      <c r="B53" s="68">
        <f>SUM(D68:D69)</f>
        <v>2178800</v>
      </c>
      <c r="C53" s="68">
        <f>SUM(A53:B53)</f>
        <v>2874916</v>
      </c>
      <c r="D53" s="388">
        <f>6577+5000-2100+259752+2500+59894+2500</f>
        <v>334123</v>
      </c>
      <c r="E53" s="389" t="s">
        <v>28</v>
      </c>
      <c r="F53" s="390" t="s">
        <v>93</v>
      </c>
      <c r="G53" s="394">
        <f>59894+2500</f>
        <v>62394</v>
      </c>
    </row>
    <row r="54" spans="1:8" ht="21" customHeight="1">
      <c r="A54" s="68">
        <v>2571120</v>
      </c>
      <c r="B54" s="68"/>
      <c r="C54" s="68">
        <f aca="true" t="shared" si="1" ref="C54:C65">SUM(A54:B54)</f>
        <v>2571120</v>
      </c>
      <c r="D54" s="394">
        <f>214260+214260+214260+214260</f>
        <v>857040</v>
      </c>
      <c r="E54" s="389" t="s">
        <v>145</v>
      </c>
      <c r="F54" s="390" t="s">
        <v>83</v>
      </c>
      <c r="G54" s="394">
        <v>214260</v>
      </c>
      <c r="H54" s="295"/>
    </row>
    <row r="55" spans="1:8" ht="21" customHeight="1">
      <c r="A55" s="60">
        <v>4969120</v>
      </c>
      <c r="B55" s="60"/>
      <c r="C55" s="68">
        <f t="shared" si="1"/>
        <v>4969120</v>
      </c>
      <c r="D55" s="394">
        <f>326280+325610+316256+465077</f>
        <v>1433223</v>
      </c>
      <c r="E55" s="389" t="s">
        <v>146</v>
      </c>
      <c r="F55" s="390" t="s">
        <v>321</v>
      </c>
      <c r="G55" s="394">
        <v>465077</v>
      </c>
      <c r="H55" s="295"/>
    </row>
    <row r="56" spans="1:8" ht="21" customHeight="1">
      <c r="A56" s="60">
        <v>132900</v>
      </c>
      <c r="B56" s="60"/>
      <c r="C56" s="68">
        <f t="shared" si="1"/>
        <v>132900</v>
      </c>
      <c r="D56" s="394">
        <f>12540+12540+12540+12970</f>
        <v>50590</v>
      </c>
      <c r="E56" s="389" t="s">
        <v>30</v>
      </c>
      <c r="F56" s="390"/>
      <c r="G56" s="394">
        <v>12970</v>
      </c>
      <c r="H56" s="295"/>
    </row>
    <row r="57" spans="1:7" ht="21" customHeight="1">
      <c r="A57" s="60">
        <v>1378320</v>
      </c>
      <c r="B57" s="60">
        <f>SUM(D70:D71)</f>
        <v>41500</v>
      </c>
      <c r="C57" s="68">
        <f t="shared" si="1"/>
        <v>1419820</v>
      </c>
      <c r="D57" s="394">
        <f>89565+89565+89565+89565</f>
        <v>358260</v>
      </c>
      <c r="E57" s="389" t="s">
        <v>31</v>
      </c>
      <c r="F57" s="390" t="s">
        <v>85</v>
      </c>
      <c r="G57" s="394">
        <v>89565</v>
      </c>
    </row>
    <row r="58" spans="1:7" ht="21" customHeight="1">
      <c r="A58" s="60">
        <v>953402</v>
      </c>
      <c r="B58" s="60"/>
      <c r="C58" s="68">
        <f t="shared" si="1"/>
        <v>953402</v>
      </c>
      <c r="D58" s="394">
        <f>11450+24118.25+14250+9600+4900</f>
        <v>64318.25</v>
      </c>
      <c r="E58" s="389" t="s">
        <v>32</v>
      </c>
      <c r="F58" s="390" t="s">
        <v>86</v>
      </c>
      <c r="G58" s="394">
        <v>4900</v>
      </c>
    </row>
    <row r="59" spans="1:7" ht="21" customHeight="1">
      <c r="A59" s="60">
        <v>4035000</v>
      </c>
      <c r="B59" s="60"/>
      <c r="C59" s="68">
        <f t="shared" si="1"/>
        <v>4035000</v>
      </c>
      <c r="D59" s="388">
        <f>14198+164851.75+2100+284062.4+12900+69945.25</f>
        <v>548057.4</v>
      </c>
      <c r="E59" s="389" t="s">
        <v>33</v>
      </c>
      <c r="F59" s="390" t="s">
        <v>87</v>
      </c>
      <c r="G59" s="388">
        <v>69945.25</v>
      </c>
    </row>
    <row r="60" spans="1:7" ht="21" customHeight="1">
      <c r="A60" s="60">
        <v>1627622</v>
      </c>
      <c r="B60" s="60"/>
      <c r="C60" s="68">
        <f t="shared" si="1"/>
        <v>1627622</v>
      </c>
      <c r="D60" s="388">
        <f>7865+38157+28670</f>
        <v>74692</v>
      </c>
      <c r="E60" s="389" t="s">
        <v>34</v>
      </c>
      <c r="F60" s="390" t="s">
        <v>35</v>
      </c>
      <c r="G60" s="388">
        <v>28670</v>
      </c>
    </row>
    <row r="61" spans="1:7" ht="21" customHeight="1">
      <c r="A61" s="60">
        <v>219000</v>
      </c>
      <c r="B61" s="60"/>
      <c r="C61" s="68">
        <f t="shared" si="1"/>
        <v>219000</v>
      </c>
      <c r="D61" s="388">
        <f>32119.71+843+34750.13</f>
        <v>67712.84</v>
      </c>
      <c r="E61" s="389" t="s">
        <v>36</v>
      </c>
      <c r="F61" s="390" t="s">
        <v>88</v>
      </c>
      <c r="G61" s="388">
        <v>34750.13</v>
      </c>
    </row>
    <row r="62" spans="1:7" ht="21" customHeight="1">
      <c r="A62" s="60">
        <v>1688000</v>
      </c>
      <c r="B62" s="60"/>
      <c r="C62" s="68">
        <f t="shared" si="1"/>
        <v>1688000</v>
      </c>
      <c r="D62" s="388">
        <f>602000+13000</f>
        <v>615000</v>
      </c>
      <c r="E62" s="389" t="s">
        <v>24</v>
      </c>
      <c r="F62" s="395">
        <v>5400</v>
      </c>
      <c r="G62" s="388">
        <v>0</v>
      </c>
    </row>
    <row r="63" spans="1:7" ht="21" customHeight="1">
      <c r="A63" s="60">
        <v>20000</v>
      </c>
      <c r="B63" s="60"/>
      <c r="C63" s="68">
        <f t="shared" si="1"/>
        <v>20000</v>
      </c>
      <c r="D63" s="388"/>
      <c r="E63" s="389" t="s">
        <v>147</v>
      </c>
      <c r="F63" s="395">
        <v>6550</v>
      </c>
      <c r="G63" s="388">
        <v>0</v>
      </c>
    </row>
    <row r="64" spans="1:7" ht="21" customHeight="1">
      <c r="A64" s="60">
        <v>359400</v>
      </c>
      <c r="B64" s="60"/>
      <c r="C64" s="68">
        <f t="shared" si="1"/>
        <v>359400</v>
      </c>
      <c r="D64" s="388"/>
      <c r="E64" s="389" t="s">
        <v>37</v>
      </c>
      <c r="F64" s="390" t="s">
        <v>39</v>
      </c>
      <c r="G64" s="388">
        <v>0</v>
      </c>
    </row>
    <row r="65" spans="1:7" ht="21" customHeight="1">
      <c r="A65" s="270">
        <v>2350000</v>
      </c>
      <c r="B65" s="270"/>
      <c r="C65" s="68">
        <f t="shared" si="1"/>
        <v>2350000</v>
      </c>
      <c r="D65" s="388"/>
      <c r="E65" s="389" t="s">
        <v>40</v>
      </c>
      <c r="F65" s="390" t="s">
        <v>41</v>
      </c>
      <c r="G65" s="388">
        <v>0</v>
      </c>
    </row>
    <row r="66" spans="1:7" ht="21" customHeight="1" thickBot="1">
      <c r="A66" s="61">
        <f>SUM(A53:A65)</f>
        <v>21000000</v>
      </c>
      <c r="B66" s="61">
        <f>SUM(B53:B65)</f>
        <v>2220300</v>
      </c>
      <c r="C66" s="61">
        <f>SUM(C53:C65)</f>
        <v>23220300</v>
      </c>
      <c r="D66" s="173">
        <f>SUM(D53:D65)</f>
        <v>4403016.49</v>
      </c>
      <c r="E66" s="13"/>
      <c r="F66" s="26"/>
      <c r="G66" s="173">
        <f>SUM(G53:G65)</f>
        <v>982531.38</v>
      </c>
    </row>
    <row r="67" spans="1:7" ht="21" customHeight="1" thickTop="1">
      <c r="A67" s="276"/>
      <c r="B67" s="276"/>
      <c r="C67" s="276"/>
      <c r="D67" s="388">
        <v>0.05</v>
      </c>
      <c r="E67" s="389" t="s">
        <v>92</v>
      </c>
      <c r="F67" s="26" t="s">
        <v>43</v>
      </c>
      <c r="G67" s="388">
        <v>0</v>
      </c>
    </row>
    <row r="68" spans="1:8" ht="21" customHeight="1">
      <c r="A68" s="276"/>
      <c r="B68" s="276"/>
      <c r="C68" s="276"/>
      <c r="D68" s="388">
        <f>938600+469300+466900</f>
        <v>1874800</v>
      </c>
      <c r="E68" s="389" t="s">
        <v>493</v>
      </c>
      <c r="F68" s="26"/>
      <c r="G68" s="388">
        <v>466900</v>
      </c>
      <c r="H68" s="295"/>
    </row>
    <row r="69" spans="1:7" ht="21" customHeight="1">
      <c r="A69" s="276"/>
      <c r="B69" s="276"/>
      <c r="C69" s="276"/>
      <c r="D69" s="388">
        <f>136000+68000+100000</f>
        <v>304000</v>
      </c>
      <c r="E69" s="389" t="s">
        <v>494</v>
      </c>
      <c r="F69" s="26"/>
      <c r="G69" s="388">
        <v>100000</v>
      </c>
    </row>
    <row r="70" spans="1:7" ht="21" customHeight="1">
      <c r="A70" s="276"/>
      <c r="B70" s="276"/>
      <c r="C70" s="276"/>
      <c r="D70" s="388">
        <f>1000+500</f>
        <v>1500</v>
      </c>
      <c r="E70" s="389" t="s">
        <v>569</v>
      </c>
      <c r="F70" s="26"/>
      <c r="G70" s="388">
        <v>500</v>
      </c>
    </row>
    <row r="71" spans="1:7" ht="21" customHeight="1">
      <c r="A71" s="276"/>
      <c r="B71" s="276"/>
      <c r="C71" s="276"/>
      <c r="D71" s="388">
        <f>20000+10000+10000</f>
        <v>40000</v>
      </c>
      <c r="E71" s="389" t="s">
        <v>570</v>
      </c>
      <c r="F71" s="26"/>
      <c r="G71" s="388">
        <v>10000</v>
      </c>
    </row>
    <row r="72" spans="1:7" ht="21" customHeight="1">
      <c r="A72" s="276"/>
      <c r="B72" s="276"/>
      <c r="C72" s="276"/>
      <c r="D72" s="68">
        <f>SUM(หมายเหุต2!D40)</f>
        <v>228900.65</v>
      </c>
      <c r="E72" s="54" t="s">
        <v>44</v>
      </c>
      <c r="F72" s="26" t="s">
        <v>45</v>
      </c>
      <c r="G72" s="68">
        <f>SUM(หมายเหุต2!D19)</f>
        <v>16848.14</v>
      </c>
    </row>
    <row r="73" spans="1:7" ht="21" customHeight="1">
      <c r="A73" s="276"/>
      <c r="B73" s="276"/>
      <c r="C73" s="276"/>
      <c r="D73" s="388">
        <f>SUM(หมายเหุต2!D62)</f>
        <v>1194217.2</v>
      </c>
      <c r="E73" s="389" t="s">
        <v>492</v>
      </c>
      <c r="F73" s="390" t="s">
        <v>64</v>
      </c>
      <c r="G73" s="388">
        <f>SUM(หมายเหุต2!D51)</f>
        <v>170230.2</v>
      </c>
    </row>
    <row r="74" spans="1:8" ht="21" customHeight="1">
      <c r="A74" s="276"/>
      <c r="B74" s="276"/>
      <c r="C74" s="276"/>
      <c r="D74" s="388">
        <v>1302000</v>
      </c>
      <c r="E74" s="389" t="s">
        <v>120</v>
      </c>
      <c r="F74" s="390"/>
      <c r="G74" s="388">
        <v>0</v>
      </c>
      <c r="H74" s="91"/>
    </row>
    <row r="75" spans="1:8" ht="21" customHeight="1">
      <c r="A75" s="276"/>
      <c r="B75" s="276"/>
      <c r="C75" s="276"/>
      <c r="D75" s="388">
        <v>15200</v>
      </c>
      <c r="E75" s="389" t="s">
        <v>573</v>
      </c>
      <c r="F75" s="390"/>
      <c r="G75" s="388"/>
      <c r="H75" s="91"/>
    </row>
    <row r="76" spans="1:7" ht="21" customHeight="1">
      <c r="A76" s="276"/>
      <c r="B76" s="276"/>
      <c r="C76" s="276"/>
      <c r="D76" s="388">
        <f>10000+15700+2500+16600+20700</f>
        <v>65500</v>
      </c>
      <c r="E76" s="389" t="s">
        <v>46</v>
      </c>
      <c r="F76" s="390" t="s">
        <v>47</v>
      </c>
      <c r="G76" s="388">
        <v>20700</v>
      </c>
    </row>
    <row r="77" spans="1:7" ht="21" customHeight="1">
      <c r="A77" s="276"/>
      <c r="B77" s="276"/>
      <c r="C77" s="276"/>
      <c r="D77" s="391">
        <f>541700+536000-2500+537300+574300</f>
        <v>2186800</v>
      </c>
      <c r="E77" s="392" t="s">
        <v>48</v>
      </c>
      <c r="F77" s="393"/>
      <c r="G77" s="391">
        <v>574300</v>
      </c>
    </row>
    <row r="78" spans="1:7" ht="21" customHeight="1">
      <c r="A78" s="276"/>
      <c r="B78" s="276"/>
      <c r="C78" s="276"/>
      <c r="D78" s="181">
        <f>SUM(D67:D77)</f>
        <v>7212917.899999999</v>
      </c>
      <c r="E78" s="20"/>
      <c r="F78" s="20"/>
      <c r="G78" s="175">
        <f>SUM(G67:G77)</f>
        <v>1359478.34</v>
      </c>
    </row>
    <row r="79" spans="1:7" ht="21" customHeight="1">
      <c r="A79" s="276"/>
      <c r="B79" s="276"/>
      <c r="C79" s="276"/>
      <c r="D79" s="175">
        <f>D66+D78</f>
        <v>11615934.39</v>
      </c>
      <c r="E79" s="20" t="s">
        <v>49</v>
      </c>
      <c r="F79" s="20"/>
      <c r="G79" s="175">
        <f>G66+G78</f>
        <v>2342009.72</v>
      </c>
    </row>
    <row r="80" spans="1:7" ht="19.5" customHeight="1">
      <c r="A80" s="276"/>
      <c r="B80" s="276"/>
      <c r="C80" s="276"/>
      <c r="D80" s="68">
        <f>SUM(D44-D78)</f>
        <v>8346420.38</v>
      </c>
      <c r="E80" s="20" t="s">
        <v>50</v>
      </c>
      <c r="F80" s="20"/>
      <c r="G80" s="68">
        <f>SUM(G44-H80)</f>
        <v>4179104.29</v>
      </c>
    </row>
    <row r="81" spans="1:7" ht="19.5" customHeight="1">
      <c r="A81" s="276"/>
      <c r="B81" s="276"/>
      <c r="C81" s="276"/>
      <c r="D81" s="183"/>
      <c r="E81" s="64" t="s">
        <v>51</v>
      </c>
      <c r="F81" s="20"/>
      <c r="G81" s="68"/>
    </row>
    <row r="82" spans="1:7" ht="17.25" customHeight="1">
      <c r="A82" s="276"/>
      <c r="B82" s="276"/>
      <c r="C82" s="276"/>
      <c r="D82" s="181"/>
      <c r="E82" s="20" t="s">
        <v>52</v>
      </c>
      <c r="F82" s="20"/>
      <c r="G82" s="181"/>
    </row>
    <row r="83" spans="1:7" ht="21" customHeight="1" thickBot="1">
      <c r="A83" s="97"/>
      <c r="B83" s="97"/>
      <c r="C83" s="97"/>
      <c r="D83" s="173">
        <f>SUM(D11+D44-D79)</f>
        <v>28678617.97</v>
      </c>
      <c r="E83" s="20" t="s">
        <v>53</v>
      </c>
      <c r="F83" s="20"/>
      <c r="G83" s="173">
        <f>SUM(G11+G44-G79)</f>
        <v>28678617.97</v>
      </c>
    </row>
    <row r="84" spans="1:7" ht="21" customHeight="1" thickTop="1">
      <c r="A84" s="97"/>
      <c r="B84" s="97"/>
      <c r="C84" s="97"/>
      <c r="D84" s="171"/>
      <c r="E84" s="20"/>
      <c r="F84" s="20"/>
      <c r="G84" s="171"/>
    </row>
    <row r="85" spans="1:7" ht="21" customHeight="1">
      <c r="A85" s="97"/>
      <c r="B85" s="97"/>
      <c r="C85" s="97"/>
      <c r="D85" s="171"/>
      <c r="E85" s="387"/>
      <c r="F85" s="20"/>
      <c r="G85" s="171"/>
    </row>
    <row r="86" spans="1:7" ht="21" customHeight="1">
      <c r="A86" s="97"/>
      <c r="B86" s="97"/>
      <c r="C86" s="97"/>
      <c r="D86" s="171"/>
      <c r="E86" s="387"/>
      <c r="F86" s="20"/>
      <c r="G86" s="171"/>
    </row>
    <row r="87" spans="1:7" ht="21" customHeight="1">
      <c r="A87" s="18" t="s">
        <v>495</v>
      </c>
      <c r="B87" s="18"/>
      <c r="C87" s="18"/>
      <c r="D87" s="76"/>
      <c r="E87" s="18"/>
      <c r="F87" s="18"/>
      <c r="G87" s="76"/>
    </row>
    <row r="88" spans="1:7" ht="21" customHeight="1">
      <c r="A88" s="18" t="s">
        <v>496</v>
      </c>
      <c r="B88" s="18"/>
      <c r="C88" s="18"/>
      <c r="D88" s="76"/>
      <c r="E88" s="18"/>
      <c r="F88" s="414" t="s">
        <v>498</v>
      </c>
      <c r="G88" s="414"/>
    </row>
    <row r="89" spans="1:7" ht="21" customHeight="1">
      <c r="A89" s="18" t="s">
        <v>497</v>
      </c>
      <c r="B89" s="18"/>
      <c r="C89" s="18"/>
      <c r="D89" s="76"/>
      <c r="E89" s="18"/>
      <c r="F89" s="76" t="s">
        <v>499</v>
      </c>
      <c r="G89" s="76"/>
    </row>
    <row r="90" spans="1:7" ht="21" customHeight="1">
      <c r="A90" s="18"/>
      <c r="B90" s="18"/>
      <c r="C90" s="18"/>
      <c r="D90" s="95"/>
      <c r="E90" s="18"/>
      <c r="F90" s="18"/>
      <c r="G90" s="95"/>
    </row>
    <row r="91" spans="1:7" ht="21" customHeight="1">
      <c r="A91" s="18"/>
      <c r="B91" s="18"/>
      <c r="C91" s="18"/>
      <c r="D91" s="95"/>
      <c r="E91" s="92"/>
      <c r="F91" s="18"/>
      <c r="G91" s="95"/>
    </row>
    <row r="92" spans="1:7" ht="21" customHeight="1">
      <c r="A92" s="18"/>
      <c r="B92" s="18"/>
      <c r="C92" s="18"/>
      <c r="D92" s="76"/>
      <c r="E92" s="18"/>
      <c r="F92" s="18"/>
      <c r="G92" s="76"/>
    </row>
    <row r="93" spans="1:3" ht="21" customHeight="1">
      <c r="A93" s="1"/>
      <c r="B93" s="1"/>
      <c r="C93" s="1"/>
    </row>
    <row r="94" spans="1:7" ht="21" customHeight="1">
      <c r="A94" s="1"/>
      <c r="B94" s="1"/>
      <c r="C94" s="1"/>
      <c r="E94" s="414"/>
      <c r="F94" s="414"/>
      <c r="G94" s="414"/>
    </row>
    <row r="95" spans="1:7" ht="21" customHeight="1">
      <c r="A95" s="1"/>
      <c r="B95" s="1"/>
      <c r="C95" s="1"/>
      <c r="D95" s="244"/>
      <c r="E95" s="1"/>
      <c r="F95" s="1"/>
      <c r="G95" s="76"/>
    </row>
    <row r="96" spans="1:7" ht="21" customHeight="1">
      <c r="A96" s="1"/>
      <c r="B96" s="1"/>
      <c r="C96" s="1"/>
      <c r="D96" s="244"/>
      <c r="E96" s="1"/>
      <c r="F96" s="1"/>
      <c r="G96" s="76"/>
    </row>
    <row r="97" spans="1:7" ht="21" customHeight="1">
      <c r="A97" s="1"/>
      <c r="B97" s="1"/>
      <c r="C97" s="1"/>
      <c r="D97" s="244"/>
      <c r="E97" s="1"/>
      <c r="F97" s="1"/>
      <c r="G97" s="76"/>
    </row>
    <row r="98" spans="1:7" ht="21" customHeight="1">
      <c r="A98" s="1"/>
      <c r="B98" s="1"/>
      <c r="C98" s="1"/>
      <c r="D98" s="244"/>
      <c r="E98" s="1"/>
      <c r="F98" s="1"/>
      <c r="G98" s="76"/>
    </row>
    <row r="99" spans="1:7" ht="21" customHeight="1">
      <c r="A99" s="1"/>
      <c r="B99" s="1"/>
      <c r="C99" s="1"/>
      <c r="D99" s="244"/>
      <c r="E99" s="1"/>
      <c r="F99" s="1"/>
      <c r="G99" s="76"/>
    </row>
    <row r="100" spans="1:7" ht="21" customHeight="1">
      <c r="A100" s="1"/>
      <c r="B100" s="1"/>
      <c r="C100" s="1"/>
      <c r="D100" s="245"/>
      <c r="E100" s="1"/>
      <c r="F100" s="1"/>
      <c r="G100" s="76"/>
    </row>
    <row r="101" spans="1:7" ht="21" customHeight="1">
      <c r="A101" s="1"/>
      <c r="B101" s="1"/>
      <c r="C101" s="1"/>
      <c r="D101" s="246"/>
      <c r="E101" s="1"/>
      <c r="F101" s="1"/>
      <c r="G101" s="76"/>
    </row>
    <row r="102" spans="1:7" ht="21" customHeight="1">
      <c r="A102" s="1"/>
      <c r="B102" s="1"/>
      <c r="C102" s="1"/>
      <c r="D102" s="244"/>
      <c r="E102" s="1"/>
      <c r="F102" s="1"/>
      <c r="G102" s="76"/>
    </row>
    <row r="103" spans="1:7" ht="21" customHeight="1">
      <c r="A103" s="1"/>
      <c r="B103" s="1"/>
      <c r="C103" s="1"/>
      <c r="D103" s="244"/>
      <c r="E103" s="1"/>
      <c r="F103" s="1"/>
      <c r="G103" s="76"/>
    </row>
    <row r="104" spans="1:7" ht="21" customHeight="1">
      <c r="A104" s="1"/>
      <c r="B104" s="1"/>
      <c r="C104" s="1"/>
      <c r="D104" s="246"/>
      <c r="E104" s="1"/>
      <c r="F104" s="1"/>
      <c r="G104" s="76"/>
    </row>
    <row r="105" spans="1:7" ht="21" customHeight="1">
      <c r="A105" s="18"/>
      <c r="B105" s="18"/>
      <c r="C105" s="18"/>
      <c r="D105" s="76"/>
      <c r="E105" s="18"/>
      <c r="F105" s="18"/>
      <c r="G105" s="76"/>
    </row>
    <row r="106" spans="1:7" ht="21" customHeight="1">
      <c r="A106" s="18"/>
      <c r="B106" s="18"/>
      <c r="C106" s="18"/>
      <c r="D106" s="76"/>
      <c r="E106" s="18"/>
      <c r="F106" s="18"/>
      <c r="G106" s="76"/>
    </row>
    <row r="107" spans="1:7" ht="21" customHeight="1">
      <c r="A107" s="18"/>
      <c r="B107" s="18"/>
      <c r="C107" s="18"/>
      <c r="D107" s="76"/>
      <c r="E107" s="18"/>
      <c r="F107" s="18"/>
      <c r="G107" s="76"/>
    </row>
    <row r="108" spans="1:7" ht="21" customHeight="1">
      <c r="A108" s="18"/>
      <c r="B108" s="18"/>
      <c r="C108" s="18"/>
      <c r="D108" s="76"/>
      <c r="E108" s="18"/>
      <c r="F108" s="18"/>
      <c r="G108" s="76"/>
    </row>
    <row r="109" spans="1:7" ht="21" customHeight="1">
      <c r="A109" s="18"/>
      <c r="B109" s="18"/>
      <c r="C109" s="18"/>
      <c r="D109" s="76"/>
      <c r="E109" s="18"/>
      <c r="F109" s="18"/>
      <c r="G109" s="76"/>
    </row>
    <row r="110" spans="1:7" ht="21" customHeight="1">
      <c r="A110" s="18"/>
      <c r="B110" s="18"/>
      <c r="C110" s="18"/>
      <c r="D110" s="76"/>
      <c r="E110" s="18"/>
      <c r="F110" s="18"/>
      <c r="G110" s="76"/>
    </row>
    <row r="111" spans="1:7" ht="21" customHeight="1">
      <c r="A111" s="18"/>
      <c r="B111" s="18"/>
      <c r="C111" s="18"/>
      <c r="D111" s="76"/>
      <c r="E111" s="18"/>
      <c r="F111" s="18"/>
      <c r="G111" s="76"/>
    </row>
    <row r="112" spans="1:7" ht="21" customHeight="1">
      <c r="A112" s="18"/>
      <c r="B112" s="18"/>
      <c r="C112" s="18"/>
      <c r="D112" s="76"/>
      <c r="E112" s="18"/>
      <c r="F112" s="18"/>
      <c r="G112" s="76"/>
    </row>
    <row r="113" spans="1:7" ht="21" customHeight="1">
      <c r="A113" s="18"/>
      <c r="B113" s="18"/>
      <c r="C113" s="18"/>
      <c r="D113" s="76"/>
      <c r="E113" s="18"/>
      <c r="F113" s="18"/>
      <c r="G113" s="76"/>
    </row>
    <row r="114" spans="1:7" ht="21" customHeight="1">
      <c r="A114" s="18"/>
      <c r="B114" s="18"/>
      <c r="C114" s="18"/>
      <c r="D114" s="76"/>
      <c r="E114" s="18"/>
      <c r="F114" s="18"/>
      <c r="G114" s="76"/>
    </row>
    <row r="115" spans="1:7" ht="21" customHeight="1">
      <c r="A115" s="18"/>
      <c r="B115" s="18"/>
      <c r="C115" s="18"/>
      <c r="D115" s="76"/>
      <c r="E115" s="18"/>
      <c r="F115" s="18"/>
      <c r="G115" s="76"/>
    </row>
    <row r="116" spans="1:7" ht="21" customHeight="1">
      <c r="A116" s="18"/>
      <c r="B116" s="18"/>
      <c r="C116" s="18"/>
      <c r="D116" s="76"/>
      <c r="E116" s="18"/>
      <c r="F116" s="18"/>
      <c r="G116" s="76"/>
    </row>
    <row r="117" spans="1:7" ht="21" customHeight="1">
      <c r="A117" s="18"/>
      <c r="B117" s="18"/>
      <c r="C117" s="18"/>
      <c r="D117" s="76"/>
      <c r="E117" s="18"/>
      <c r="F117" s="18"/>
      <c r="G117" s="76"/>
    </row>
    <row r="118" spans="1:7" ht="21" customHeight="1">
      <c r="A118" s="18"/>
      <c r="B118" s="18"/>
      <c r="C118" s="18"/>
      <c r="D118" s="76"/>
      <c r="E118" s="18"/>
      <c r="F118" s="18"/>
      <c r="G118" s="76"/>
    </row>
    <row r="119" spans="1:7" ht="21" customHeight="1">
      <c r="A119" s="18"/>
      <c r="B119" s="18"/>
      <c r="C119" s="18"/>
      <c r="D119" s="76"/>
      <c r="E119" s="18"/>
      <c r="F119" s="18"/>
      <c r="G119" s="76"/>
    </row>
    <row r="120" spans="1:7" ht="21" customHeight="1">
      <c r="A120" s="18"/>
      <c r="B120" s="18"/>
      <c r="C120" s="18"/>
      <c r="D120" s="76"/>
      <c r="E120" s="16"/>
      <c r="F120" s="18"/>
      <c r="G120" s="76"/>
    </row>
    <row r="121" spans="1:7" ht="21" customHeight="1">
      <c r="A121" s="18"/>
      <c r="B121" s="18"/>
      <c r="C121" s="18"/>
      <c r="D121" s="76"/>
      <c r="E121" s="18"/>
      <c r="F121" s="18"/>
      <c r="G121" s="76"/>
    </row>
    <row r="122" spans="1:7" ht="21" customHeight="1">
      <c r="A122" s="13"/>
      <c r="B122" s="13"/>
      <c r="C122" s="13"/>
      <c r="D122" s="77"/>
      <c r="E122" s="13"/>
      <c r="F122" s="13"/>
      <c r="G122" s="77"/>
    </row>
    <row r="123" spans="1:7" ht="21" customHeight="1">
      <c r="A123" s="13" t="s">
        <v>105</v>
      </c>
      <c r="B123" s="13"/>
      <c r="C123" s="13"/>
      <c r="F123" s="22" t="s">
        <v>103</v>
      </c>
      <c r="G123" s="168"/>
    </row>
    <row r="124" spans="1:7" ht="21" customHeight="1">
      <c r="A124" s="1" t="s">
        <v>98</v>
      </c>
      <c r="B124" s="1"/>
      <c r="C124" s="1"/>
      <c r="D124" s="77"/>
      <c r="E124" s="1"/>
      <c r="F124" s="1"/>
      <c r="G124" s="76"/>
    </row>
    <row r="125" spans="1:7" ht="21" customHeight="1">
      <c r="A125" s="1" t="s">
        <v>123</v>
      </c>
      <c r="B125" s="1"/>
      <c r="C125" s="1"/>
      <c r="D125" s="76"/>
      <c r="E125" s="403"/>
      <c r="F125" s="403"/>
      <c r="G125" s="403"/>
    </row>
    <row r="126" spans="1:8" ht="21" customHeight="1">
      <c r="A126" s="1" t="s">
        <v>94</v>
      </c>
      <c r="B126" s="1"/>
      <c r="C126" s="1"/>
      <c r="E126" s="403" t="s">
        <v>114</v>
      </c>
      <c r="F126" s="403"/>
      <c r="G126" s="403"/>
      <c r="H126" s="15"/>
    </row>
    <row r="127" spans="1:8" ht="21" customHeight="1">
      <c r="A127" s="1"/>
      <c r="B127" s="1"/>
      <c r="C127" s="1"/>
      <c r="E127" s="403" t="s">
        <v>108</v>
      </c>
      <c r="F127" s="403"/>
      <c r="G127" s="403"/>
      <c r="H127" s="15"/>
    </row>
    <row r="128" spans="1:7" ht="21" customHeight="1">
      <c r="A128" s="1" t="s">
        <v>106</v>
      </c>
      <c r="B128" s="1"/>
      <c r="C128" s="1"/>
      <c r="D128" s="76"/>
      <c r="E128" s="1"/>
      <c r="F128" s="1"/>
      <c r="G128" s="76"/>
    </row>
    <row r="129" spans="1:7" ht="21" customHeight="1">
      <c r="A129" s="1" t="s">
        <v>107</v>
      </c>
      <c r="B129" s="1"/>
      <c r="C129" s="1"/>
      <c r="E129" s="21" t="s">
        <v>122</v>
      </c>
      <c r="G129" s="76"/>
    </row>
    <row r="130" spans="1:7" ht="21" customHeight="1">
      <c r="A130" s="19" t="s">
        <v>95</v>
      </c>
      <c r="B130" s="19"/>
      <c r="C130" s="19"/>
      <c r="E130" s="21" t="s">
        <v>110</v>
      </c>
      <c r="G130" s="76"/>
    </row>
    <row r="131" spans="1:7" ht="21" customHeight="1">
      <c r="A131" s="1"/>
      <c r="B131" s="1"/>
      <c r="C131" s="1"/>
      <c r="E131" s="21" t="s">
        <v>111</v>
      </c>
      <c r="G131" s="76"/>
    </row>
    <row r="132" spans="1:7" ht="21" customHeight="1">
      <c r="A132" s="1"/>
      <c r="B132" s="1"/>
      <c r="C132" s="1"/>
      <c r="E132" s="21" t="s">
        <v>112</v>
      </c>
      <c r="G132" s="76"/>
    </row>
    <row r="133" spans="1:7" ht="21" customHeight="1">
      <c r="A133" s="18" t="s">
        <v>96</v>
      </c>
      <c r="B133" s="18"/>
      <c r="C133" s="18"/>
      <c r="D133" s="180"/>
      <c r="E133" s="1"/>
      <c r="F133" s="1"/>
      <c r="G133" s="76"/>
    </row>
    <row r="134" spans="1:7" ht="21" customHeight="1">
      <c r="A134" s="18" t="s">
        <v>97</v>
      </c>
      <c r="B134" s="18"/>
      <c r="C134" s="18"/>
      <c r="D134" s="76"/>
      <c r="E134" s="1"/>
      <c r="F134" s="1"/>
      <c r="G134" s="76"/>
    </row>
    <row r="135" spans="1:7" ht="21" customHeight="1">
      <c r="A135" s="1"/>
      <c r="B135" s="1"/>
      <c r="C135" s="1"/>
      <c r="E135" s="403" t="s">
        <v>126</v>
      </c>
      <c r="F135" s="403"/>
      <c r="G135" s="76"/>
    </row>
    <row r="136" spans="1:7" ht="21" customHeight="1">
      <c r="A136" s="1"/>
      <c r="B136" s="1"/>
      <c r="C136" s="1"/>
      <c r="E136" s="414" t="s">
        <v>124</v>
      </c>
      <c r="F136" s="414"/>
      <c r="G136" s="414"/>
    </row>
    <row r="137" ht="23.25">
      <c r="E137" s="1" t="s">
        <v>125</v>
      </c>
    </row>
    <row r="182" spans="1:7" ht="21" customHeight="1">
      <c r="A182" s="404" t="s">
        <v>104</v>
      </c>
      <c r="B182" s="404"/>
      <c r="C182" s="404"/>
      <c r="D182" s="404"/>
      <c r="E182" s="404"/>
      <c r="F182" s="404"/>
      <c r="G182" s="404"/>
    </row>
    <row r="183" spans="1:7" ht="21" customHeight="1">
      <c r="A183" s="404" t="s">
        <v>121</v>
      </c>
      <c r="B183" s="404"/>
      <c r="C183" s="404"/>
      <c r="D183" s="404"/>
      <c r="E183" s="404"/>
      <c r="F183" s="404"/>
      <c r="G183" s="404"/>
    </row>
    <row r="184" spans="1:6" ht="21" customHeight="1">
      <c r="A184" s="38"/>
      <c r="B184" s="38"/>
      <c r="C184" s="38"/>
      <c r="E184" s="38"/>
      <c r="F184" s="38" t="s">
        <v>131</v>
      </c>
    </row>
    <row r="185" spans="1:7" ht="21" customHeight="1">
      <c r="A185" s="404" t="s">
        <v>0</v>
      </c>
      <c r="B185" s="404"/>
      <c r="C185" s="404"/>
      <c r="D185" s="404"/>
      <c r="E185" s="404"/>
      <c r="F185" s="404"/>
      <c r="G185" s="404"/>
    </row>
    <row r="186" spans="1:5" ht="21" customHeight="1" thickBot="1">
      <c r="A186" s="39"/>
      <c r="B186" s="39"/>
      <c r="C186" s="39"/>
      <c r="E186" s="38" t="s">
        <v>141</v>
      </c>
    </row>
    <row r="187" spans="1:7" ht="19.5" customHeight="1" thickTop="1">
      <c r="A187" s="411" t="s">
        <v>1</v>
      </c>
      <c r="B187" s="412"/>
      <c r="C187" s="412"/>
      <c r="D187" s="413"/>
      <c r="E187" s="41"/>
      <c r="F187" s="42"/>
      <c r="G187" s="186" t="s">
        <v>2</v>
      </c>
    </row>
    <row r="188" spans="1:7" ht="19.5" customHeight="1">
      <c r="A188" s="43" t="s">
        <v>3</v>
      </c>
      <c r="B188" s="239"/>
      <c r="C188" s="239"/>
      <c r="D188" s="169" t="s">
        <v>4</v>
      </c>
      <c r="E188" s="44" t="s">
        <v>5</v>
      </c>
      <c r="F188" s="26" t="s">
        <v>6</v>
      </c>
      <c r="G188" s="187" t="s">
        <v>4</v>
      </c>
    </row>
    <row r="189" spans="1:7" ht="19.5" customHeight="1" thickBot="1">
      <c r="A189" s="45" t="s">
        <v>7</v>
      </c>
      <c r="B189" s="240"/>
      <c r="C189" s="240"/>
      <c r="D189" s="170" t="s">
        <v>7</v>
      </c>
      <c r="E189" s="46"/>
      <c r="F189" s="47" t="s">
        <v>8</v>
      </c>
      <c r="G189" s="188" t="s">
        <v>7</v>
      </c>
    </row>
    <row r="190" spans="1:7" ht="21" customHeight="1" thickTop="1">
      <c r="A190" s="48"/>
      <c r="B190" s="53"/>
      <c r="C190" s="53"/>
      <c r="D190" s="171">
        <v>23605071.68</v>
      </c>
      <c r="E190" s="49" t="s">
        <v>9</v>
      </c>
      <c r="F190" s="42"/>
      <c r="G190" s="189">
        <v>32474536.26</v>
      </c>
    </row>
    <row r="191" spans="1:7" ht="21" customHeight="1">
      <c r="A191" s="24"/>
      <c r="B191" s="53"/>
      <c r="C191" s="53"/>
      <c r="D191" s="172"/>
      <c r="E191" s="50" t="s">
        <v>99</v>
      </c>
      <c r="F191" s="26"/>
      <c r="G191" s="68"/>
    </row>
    <row r="192" spans="1:7" ht="21" customHeight="1">
      <c r="A192" s="25">
        <v>169600</v>
      </c>
      <c r="B192" s="349"/>
      <c r="C192" s="349"/>
      <c r="D192" s="171">
        <f>984.21+180.41+1284.01+11693.58+28392.19+62367.65+17193.7+8072.17+12179.59+2095.06+538.45</f>
        <v>144981.02</v>
      </c>
      <c r="E192" s="51" t="s">
        <v>10</v>
      </c>
      <c r="F192" s="26" t="s">
        <v>11</v>
      </c>
      <c r="G192" s="68">
        <v>538.45</v>
      </c>
    </row>
    <row r="193" spans="1:7" ht="21" customHeight="1">
      <c r="A193" s="25">
        <v>10000</v>
      </c>
      <c r="B193" s="349"/>
      <c r="C193" s="349"/>
      <c r="D193" s="171">
        <f>66+178+132+86+556+3369+106+13+238+106+106</f>
        <v>4956</v>
      </c>
      <c r="E193" s="51" t="s">
        <v>12</v>
      </c>
      <c r="F193" s="26" t="s">
        <v>13</v>
      </c>
      <c r="G193" s="68">
        <v>106</v>
      </c>
    </row>
    <row r="194" spans="1:7" ht="21" customHeight="1">
      <c r="A194" s="25">
        <v>50000</v>
      </c>
      <c r="B194" s="349"/>
      <c r="C194" s="349"/>
      <c r="D194" s="171">
        <f>7588.82+45302.78+6153.49</f>
        <v>59045.09</v>
      </c>
      <c r="E194" s="51" t="s">
        <v>14</v>
      </c>
      <c r="F194" s="26" t="s">
        <v>15</v>
      </c>
      <c r="G194" s="68">
        <v>0</v>
      </c>
    </row>
    <row r="195" spans="1:7" ht="21" customHeight="1">
      <c r="A195" s="25">
        <v>0</v>
      </c>
      <c r="B195" s="349"/>
      <c r="C195" s="349"/>
      <c r="D195" s="171">
        <v>0</v>
      </c>
      <c r="E195" s="51" t="s">
        <v>16</v>
      </c>
      <c r="F195" s="26" t="s">
        <v>17</v>
      </c>
      <c r="G195" s="68">
        <v>0</v>
      </c>
    </row>
    <row r="196" spans="1:7" ht="21" customHeight="1">
      <c r="A196" s="25">
        <v>120000</v>
      </c>
      <c r="B196" s="349"/>
      <c r="C196" s="349"/>
      <c r="D196" s="171">
        <f>51200+85500</f>
        <v>136700</v>
      </c>
      <c r="E196" s="51" t="s">
        <v>18</v>
      </c>
      <c r="F196" s="26" t="s">
        <v>19</v>
      </c>
      <c r="G196" s="68">
        <v>85500</v>
      </c>
    </row>
    <row r="197" spans="1:7" ht="21" customHeight="1">
      <c r="A197" s="52">
        <v>0</v>
      </c>
      <c r="B197" s="350"/>
      <c r="C197" s="350"/>
      <c r="D197" s="171">
        <v>0</v>
      </c>
      <c r="E197" s="51" t="s">
        <v>20</v>
      </c>
      <c r="F197" s="26" t="s">
        <v>21</v>
      </c>
      <c r="G197" s="68">
        <v>0</v>
      </c>
    </row>
    <row r="198" spans="1:7" ht="21" customHeight="1">
      <c r="A198" s="25">
        <v>8160000</v>
      </c>
      <c r="B198" s="349"/>
      <c r="C198" s="349"/>
      <c r="D198" s="171">
        <f>881468.95+699487.5+1104353.06+1441.58+363977.17+1009546.65+1006929.23+848573.72+996865.11+415011.42+1377905.1</f>
        <v>8705559.49</v>
      </c>
      <c r="E198" s="51" t="s">
        <v>22</v>
      </c>
      <c r="F198" s="26" t="s">
        <v>23</v>
      </c>
      <c r="G198" s="68">
        <v>1377905.1</v>
      </c>
    </row>
    <row r="199" spans="1:7" ht="21" customHeight="1">
      <c r="A199" s="25">
        <v>11624400</v>
      </c>
      <c r="B199" s="25"/>
      <c r="C199" s="25"/>
      <c r="D199" s="68">
        <f>3563541+1571203.41+5186756+777122+441600</f>
        <v>11540222.41</v>
      </c>
      <c r="E199" s="53" t="s">
        <v>24</v>
      </c>
      <c r="F199" s="26" t="s">
        <v>25</v>
      </c>
      <c r="G199" s="68">
        <v>0</v>
      </c>
    </row>
    <row r="200" spans="1:7" ht="21" customHeight="1">
      <c r="A200" s="25">
        <v>0</v>
      </c>
      <c r="B200" s="349"/>
      <c r="C200" s="349"/>
      <c r="D200" s="171">
        <f>477000+457200+318000</f>
        <v>1252200</v>
      </c>
      <c r="E200" s="51" t="s">
        <v>116</v>
      </c>
      <c r="F200" s="26" t="s">
        <v>25</v>
      </c>
      <c r="G200" s="68">
        <v>318000</v>
      </c>
    </row>
    <row r="201" spans="1:7" ht="21" customHeight="1">
      <c r="A201" s="87">
        <v>488316</v>
      </c>
      <c r="B201" s="87"/>
      <c r="C201" s="87"/>
      <c r="D201" s="181">
        <f>17580+14324+13524+15561+18840+22242.64+317818+34176+24781+25424+28140</f>
        <v>532410.64</v>
      </c>
      <c r="E201" s="53" t="s">
        <v>128</v>
      </c>
      <c r="F201" s="26"/>
      <c r="G201" s="68">
        <v>28140</v>
      </c>
    </row>
    <row r="202" spans="1:7" ht="21" customHeight="1" thickBot="1">
      <c r="A202" s="84">
        <f>SUM(A192:A201)</f>
        <v>20622316</v>
      </c>
      <c r="B202" s="84"/>
      <c r="C202" s="84"/>
      <c r="D202" s="182">
        <f>SUM(D192:D201)</f>
        <v>22376074.65</v>
      </c>
      <c r="E202" s="13"/>
      <c r="F202" s="26"/>
      <c r="G202" s="190">
        <f>SUM(G192:G201)</f>
        <v>1810189.55</v>
      </c>
    </row>
    <row r="203" spans="1:7" ht="21" customHeight="1" thickTop="1">
      <c r="A203" s="81"/>
      <c r="B203" s="81"/>
      <c r="C203" s="81"/>
      <c r="D203" s="183"/>
      <c r="E203" s="53"/>
      <c r="F203" s="26"/>
      <c r="G203" s="192"/>
    </row>
    <row r="204" spans="1:7" ht="21" customHeight="1">
      <c r="A204" s="20"/>
      <c r="B204" s="20"/>
      <c r="C204" s="20"/>
      <c r="D204" s="184"/>
      <c r="E204" s="9" t="s">
        <v>113</v>
      </c>
      <c r="F204" s="26"/>
      <c r="G204" s="174">
        <v>0</v>
      </c>
    </row>
    <row r="205" spans="1:7" ht="21" customHeight="1">
      <c r="A205" s="53"/>
      <c r="B205" s="53"/>
      <c r="C205" s="53"/>
      <c r="D205" s="184">
        <f>22000+5306+32300+126200+5400+94800+499425+16500+196220</f>
        <v>998151</v>
      </c>
      <c r="E205" s="54" t="s">
        <v>89</v>
      </c>
      <c r="F205" s="26"/>
      <c r="G205" s="174">
        <v>196220</v>
      </c>
    </row>
    <row r="206" spans="1:7" ht="21" customHeight="1">
      <c r="A206" s="53"/>
      <c r="B206" s="53"/>
      <c r="C206" s="53"/>
      <c r="D206" s="184">
        <v>5850</v>
      </c>
      <c r="E206" s="54" t="s">
        <v>42</v>
      </c>
      <c r="F206" s="26" t="s">
        <v>43</v>
      </c>
      <c r="G206" s="174">
        <v>0</v>
      </c>
    </row>
    <row r="207" spans="1:7" ht="21" customHeight="1">
      <c r="A207" s="53"/>
      <c r="B207" s="53"/>
      <c r="C207" s="53"/>
      <c r="D207" s="184">
        <f>54239.85+99601.55+69062.14+69423.11+76474.41+49967.24+48014.77+74120.96+89002.89+109695.49+73672.84</f>
        <v>813275.2499999999</v>
      </c>
      <c r="E207" s="54" t="s">
        <v>44</v>
      </c>
      <c r="F207" s="26"/>
      <c r="G207" s="174">
        <v>73672.84</v>
      </c>
    </row>
    <row r="208" spans="1:7" ht="21" customHeight="1">
      <c r="A208" s="53"/>
      <c r="B208" s="53"/>
      <c r="C208" s="53"/>
      <c r="D208" s="184">
        <v>0</v>
      </c>
      <c r="E208" s="6" t="s">
        <v>91</v>
      </c>
      <c r="F208" s="26"/>
      <c r="G208" s="174">
        <v>0</v>
      </c>
    </row>
    <row r="209" spans="1:7" ht="21" customHeight="1">
      <c r="A209" s="53"/>
      <c r="B209" s="53"/>
      <c r="C209" s="53"/>
      <c r="D209" s="175">
        <f>SUM(D204:D208)</f>
        <v>1817276.25</v>
      </c>
      <c r="E209" s="13"/>
      <c r="F209" s="26"/>
      <c r="G209" s="175">
        <f>SUM(G204:G208)</f>
        <v>269892.83999999997</v>
      </c>
    </row>
    <row r="210" spans="1:7" ht="21" customHeight="1" thickBot="1">
      <c r="A210" s="53"/>
      <c r="B210" s="53"/>
      <c r="C210" s="53"/>
      <c r="D210" s="176">
        <f>SUM(D202+D209)</f>
        <v>24193350.9</v>
      </c>
      <c r="E210" s="28" t="s">
        <v>26</v>
      </c>
      <c r="F210" s="56"/>
      <c r="G210" s="176">
        <f>SUM(G202+G209)</f>
        <v>2080082.3900000001</v>
      </c>
    </row>
    <row r="211" spans="1:7" ht="21" customHeight="1" thickTop="1">
      <c r="A211" s="53"/>
      <c r="B211" s="53"/>
      <c r="C211" s="53"/>
      <c r="D211" s="172"/>
      <c r="E211" s="20"/>
      <c r="F211" s="20"/>
      <c r="G211" s="172"/>
    </row>
    <row r="212" spans="1:7" ht="21" customHeight="1">
      <c r="A212" s="53"/>
      <c r="B212" s="53"/>
      <c r="C212" s="53"/>
      <c r="D212" s="172"/>
      <c r="E212" s="20"/>
      <c r="F212" s="20"/>
      <c r="G212" s="172"/>
    </row>
    <row r="213" spans="1:7" ht="21" customHeight="1">
      <c r="A213" s="53"/>
      <c r="B213" s="53"/>
      <c r="C213" s="53"/>
      <c r="D213" s="172"/>
      <c r="E213" s="20"/>
      <c r="F213" s="20"/>
      <c r="G213" s="172"/>
    </row>
    <row r="214" spans="1:7" ht="21" customHeight="1">
      <c r="A214" s="53"/>
      <c r="B214" s="53"/>
      <c r="C214" s="53"/>
      <c r="D214" s="172"/>
      <c r="E214" s="20"/>
      <c r="F214" s="20"/>
      <c r="G214" s="172"/>
    </row>
    <row r="215" spans="1:7" ht="21" customHeight="1">
      <c r="A215" s="53"/>
      <c r="B215" s="53"/>
      <c r="C215" s="53"/>
      <c r="D215" s="172"/>
      <c r="E215" s="20"/>
      <c r="F215" s="20"/>
      <c r="G215" s="172"/>
    </row>
    <row r="216" spans="1:7" ht="21" customHeight="1">
      <c r="A216" s="53"/>
      <c r="B216" s="53"/>
      <c r="C216" s="53"/>
      <c r="D216" s="172"/>
      <c r="E216" s="20"/>
      <c r="F216" s="20"/>
      <c r="G216" s="172"/>
    </row>
    <row r="217" spans="1:7" ht="21" customHeight="1">
      <c r="A217" s="53"/>
      <c r="B217" s="53"/>
      <c r="C217" s="53"/>
      <c r="D217" s="172"/>
      <c r="E217" s="20"/>
      <c r="F217" s="20"/>
      <c r="G217" s="172"/>
    </row>
    <row r="218" spans="1:7" ht="21" customHeight="1">
      <c r="A218" s="53"/>
      <c r="B218" s="53"/>
      <c r="C218" s="53"/>
      <c r="D218" s="172"/>
      <c r="E218" s="20"/>
      <c r="F218" s="20"/>
      <c r="G218" s="172"/>
    </row>
    <row r="219" spans="1:7" ht="21" customHeight="1">
      <c r="A219" s="53"/>
      <c r="B219" s="53"/>
      <c r="C219" s="53"/>
      <c r="D219" s="172"/>
      <c r="E219" s="20"/>
      <c r="F219" s="20"/>
      <c r="G219" s="172"/>
    </row>
    <row r="220" spans="1:7" ht="21" customHeight="1">
      <c r="A220" s="53"/>
      <c r="B220" s="53"/>
      <c r="C220" s="53"/>
      <c r="D220" s="172"/>
      <c r="E220" s="20"/>
      <c r="F220" s="20"/>
      <c r="G220" s="172"/>
    </row>
    <row r="221" spans="1:7" ht="21" customHeight="1">
      <c r="A221" s="53"/>
      <c r="B221" s="53"/>
      <c r="C221" s="53"/>
      <c r="D221" s="172"/>
      <c r="E221" s="20"/>
      <c r="F221" s="20"/>
      <c r="G221" s="172"/>
    </row>
    <row r="222" spans="1:7" ht="21" customHeight="1">
      <c r="A222" s="53"/>
      <c r="B222" s="53"/>
      <c r="C222" s="53"/>
      <c r="D222" s="172"/>
      <c r="E222" s="20"/>
      <c r="F222" s="20"/>
      <c r="G222" s="172"/>
    </row>
    <row r="223" spans="4:7" ht="21" customHeight="1" thickBot="1">
      <c r="D223" s="177"/>
      <c r="E223" s="55" t="s">
        <v>65</v>
      </c>
      <c r="F223" s="55"/>
      <c r="G223" s="177"/>
    </row>
    <row r="224" spans="1:7" ht="19.5" customHeight="1" thickTop="1">
      <c r="A224" s="411" t="s">
        <v>1</v>
      </c>
      <c r="B224" s="412"/>
      <c r="C224" s="412"/>
      <c r="D224" s="413"/>
      <c r="E224" s="41"/>
      <c r="F224" s="42"/>
      <c r="G224" s="186" t="s">
        <v>2</v>
      </c>
    </row>
    <row r="225" spans="1:7" ht="19.5" customHeight="1">
      <c r="A225" s="43" t="s">
        <v>3</v>
      </c>
      <c r="B225" s="20"/>
      <c r="C225" s="20"/>
      <c r="D225" s="178" t="s">
        <v>4</v>
      </c>
      <c r="E225" s="44" t="s">
        <v>5</v>
      </c>
      <c r="F225" s="26" t="s">
        <v>6</v>
      </c>
      <c r="G225" s="187" t="s">
        <v>4</v>
      </c>
    </row>
    <row r="226" spans="1:7" ht="19.5" customHeight="1" thickBot="1">
      <c r="A226" s="45" t="s">
        <v>7</v>
      </c>
      <c r="B226" s="240"/>
      <c r="C226" s="240"/>
      <c r="D226" s="170" t="s">
        <v>7</v>
      </c>
      <c r="E226" s="46"/>
      <c r="F226" s="47" t="s">
        <v>8</v>
      </c>
      <c r="G226" s="188" t="s">
        <v>7</v>
      </c>
    </row>
    <row r="227" spans="1:7" ht="21" customHeight="1" thickTop="1">
      <c r="A227" s="57"/>
      <c r="B227" s="57"/>
      <c r="C227" s="57"/>
      <c r="D227" s="179"/>
      <c r="E227" s="58" t="s">
        <v>27</v>
      </c>
      <c r="F227" s="59"/>
      <c r="G227" s="191"/>
    </row>
    <row r="228" spans="1:7" ht="21" customHeight="1">
      <c r="A228" s="60">
        <v>1499926</v>
      </c>
      <c r="B228" s="60"/>
      <c r="C228" s="60"/>
      <c r="D228" s="68">
        <f>4434+89530+4434+34434+56934+64434+534974+94358+96033+333396</f>
        <v>1312961</v>
      </c>
      <c r="E228" s="54" t="s">
        <v>28</v>
      </c>
      <c r="F228" s="26" t="s">
        <v>93</v>
      </c>
      <c r="G228" s="68">
        <v>333396</v>
      </c>
    </row>
    <row r="229" spans="1:7" ht="21" customHeight="1">
      <c r="A229" s="60">
        <v>2853812</v>
      </c>
      <c r="B229" s="60"/>
      <c r="C229" s="60"/>
      <c r="D229" s="174">
        <f>1298776+3776+3776+1301268</f>
        <v>2607596</v>
      </c>
      <c r="E229" s="54" t="s">
        <v>28</v>
      </c>
      <c r="F229" s="26" t="s">
        <v>117</v>
      </c>
      <c r="G229" s="174">
        <v>1301268</v>
      </c>
    </row>
    <row r="230" spans="1:7" ht="21" customHeight="1">
      <c r="A230" s="60"/>
      <c r="B230" s="60"/>
      <c r="C230" s="60"/>
      <c r="D230" s="174">
        <v>474000</v>
      </c>
      <c r="E230" s="54" t="s">
        <v>28</v>
      </c>
      <c r="F230" s="26" t="s">
        <v>137</v>
      </c>
      <c r="G230" s="174">
        <v>0</v>
      </c>
    </row>
    <row r="231" spans="1:7" ht="21" customHeight="1">
      <c r="A231" s="60">
        <v>2311616</v>
      </c>
      <c r="B231" s="60"/>
      <c r="C231" s="60"/>
      <c r="D231" s="68">
        <f>681839+149410+147060+145060+137247+140460+136111+121573</f>
        <v>1658760</v>
      </c>
      <c r="E231" s="54" t="s">
        <v>29</v>
      </c>
      <c r="F231" s="26" t="s">
        <v>83</v>
      </c>
      <c r="G231" s="68">
        <v>121573</v>
      </c>
    </row>
    <row r="232" spans="1:7" ht="21" customHeight="1">
      <c r="A232" s="60">
        <v>200760</v>
      </c>
      <c r="B232" s="60"/>
      <c r="C232" s="60"/>
      <c r="D232" s="68">
        <f>16400+16400+16400+16400+16400+16400+16400+16400+16400+16400+16400</f>
        <v>180400</v>
      </c>
      <c r="E232" s="54" t="s">
        <v>30</v>
      </c>
      <c r="F232" s="26" t="s">
        <v>84</v>
      </c>
      <c r="G232" s="68">
        <v>16400</v>
      </c>
    </row>
    <row r="233" spans="1:7" ht="21" customHeight="1">
      <c r="A233" s="60">
        <v>359520</v>
      </c>
      <c r="B233" s="60"/>
      <c r="C233" s="60"/>
      <c r="D233" s="68">
        <f>113280+22980+22980+22980+22980+22980+22980+35320</f>
        <v>286480</v>
      </c>
      <c r="E233" s="54" t="s">
        <v>31</v>
      </c>
      <c r="F233" s="26" t="s">
        <v>85</v>
      </c>
      <c r="G233" s="68">
        <v>35320</v>
      </c>
    </row>
    <row r="234" spans="1:7" ht="21" customHeight="1">
      <c r="A234" s="60">
        <v>232000</v>
      </c>
      <c r="B234" s="60"/>
      <c r="C234" s="60"/>
      <c r="D234" s="68">
        <f>21360+21360+21360+21360+21360+21360+21360+21360+21360+9020</f>
        <v>201260</v>
      </c>
      <c r="E234" s="54" t="s">
        <v>31</v>
      </c>
      <c r="F234" s="26" t="s">
        <v>118</v>
      </c>
      <c r="G234" s="68">
        <v>9020</v>
      </c>
    </row>
    <row r="235" spans="1:7" ht="21" customHeight="1">
      <c r="A235" s="60">
        <v>2431794</v>
      </c>
      <c r="B235" s="60"/>
      <c r="C235" s="60"/>
      <c r="D235" s="68">
        <f>1148874+157184+157136+167786+8414</f>
        <v>1639394</v>
      </c>
      <c r="E235" s="54" t="s">
        <v>32</v>
      </c>
      <c r="F235" s="26" t="s">
        <v>86</v>
      </c>
      <c r="G235" s="68">
        <v>8414</v>
      </c>
    </row>
    <row r="236" spans="1:7" ht="21" customHeight="1">
      <c r="A236" s="60">
        <v>180000</v>
      </c>
      <c r="B236" s="60"/>
      <c r="C236" s="60"/>
      <c r="D236" s="174">
        <v>0</v>
      </c>
      <c r="E236" s="54" t="s">
        <v>32</v>
      </c>
      <c r="F236" s="26" t="s">
        <v>129</v>
      </c>
      <c r="G236" s="174">
        <v>0</v>
      </c>
    </row>
    <row r="237" spans="1:7" ht="21" customHeight="1">
      <c r="A237" s="60">
        <v>1103500</v>
      </c>
      <c r="B237" s="60"/>
      <c r="C237" s="60"/>
      <c r="D237" s="174">
        <f>269551+47350+59314+22422+26870</f>
        <v>425507</v>
      </c>
      <c r="E237" s="54" t="s">
        <v>33</v>
      </c>
      <c r="F237" s="26" t="s">
        <v>87</v>
      </c>
      <c r="G237" s="174">
        <v>26870</v>
      </c>
    </row>
    <row r="238" spans="1:7" ht="21" customHeight="1">
      <c r="A238" s="60">
        <v>3243488</v>
      </c>
      <c r="B238" s="60"/>
      <c r="C238" s="60"/>
      <c r="D238" s="174">
        <f>141394+125350+60100+489757+349235</f>
        <v>1165836</v>
      </c>
      <c r="E238" s="54" t="s">
        <v>33</v>
      </c>
      <c r="F238" s="26" t="s">
        <v>101</v>
      </c>
      <c r="G238" s="174">
        <v>349235</v>
      </c>
    </row>
    <row r="239" spans="1:7" ht="21" customHeight="1">
      <c r="A239" s="60">
        <v>405000</v>
      </c>
      <c r="B239" s="60"/>
      <c r="C239" s="60"/>
      <c r="D239" s="174">
        <f>25620+7838.65+19610+75737</f>
        <v>128805.65</v>
      </c>
      <c r="E239" s="54" t="s">
        <v>34</v>
      </c>
      <c r="F239" s="26" t="s">
        <v>35</v>
      </c>
      <c r="G239" s="174">
        <v>75737</v>
      </c>
    </row>
    <row r="240" spans="1:7" ht="21" customHeight="1">
      <c r="A240" s="60">
        <v>132500</v>
      </c>
      <c r="B240" s="60"/>
      <c r="C240" s="60"/>
      <c r="D240" s="174">
        <v>0</v>
      </c>
      <c r="E240" s="54" t="s">
        <v>34</v>
      </c>
      <c r="F240" s="26" t="s">
        <v>119</v>
      </c>
      <c r="G240" s="174">
        <v>0</v>
      </c>
    </row>
    <row r="241" spans="1:7" ht="21" customHeight="1">
      <c r="A241" s="60">
        <v>415800</v>
      </c>
      <c r="B241" s="60"/>
      <c r="C241" s="60"/>
      <c r="D241" s="68">
        <f>194833.19+7027.33+51810.49+5565.87</f>
        <v>259236.87999999998</v>
      </c>
      <c r="E241" s="54" t="s">
        <v>36</v>
      </c>
      <c r="F241" s="26" t="s">
        <v>88</v>
      </c>
      <c r="G241" s="68">
        <v>5565.87</v>
      </c>
    </row>
    <row r="242" spans="1:7" ht="21" customHeight="1">
      <c r="A242" s="60">
        <v>0</v>
      </c>
      <c r="B242" s="60"/>
      <c r="C242" s="60"/>
      <c r="D242" s="174">
        <v>0</v>
      </c>
      <c r="E242" s="54" t="s">
        <v>36</v>
      </c>
      <c r="F242" s="26" t="s">
        <v>135</v>
      </c>
      <c r="G242" s="68">
        <v>0</v>
      </c>
    </row>
    <row r="243" spans="1:7" ht="21" customHeight="1">
      <c r="A243" s="60">
        <v>270000</v>
      </c>
      <c r="B243" s="60"/>
      <c r="C243" s="60"/>
      <c r="D243" s="174">
        <f>18000+65000+5000+20000+20000+32000+30000</f>
        <v>190000</v>
      </c>
      <c r="E243" s="54" t="s">
        <v>24</v>
      </c>
      <c r="F243" s="27">
        <v>5400</v>
      </c>
      <c r="G243" s="174">
        <v>0</v>
      </c>
    </row>
    <row r="244" spans="1:7" ht="21" customHeight="1">
      <c r="A244" s="60">
        <v>1548000</v>
      </c>
      <c r="B244" s="60"/>
      <c r="C244" s="60"/>
      <c r="D244" s="174">
        <f>514000+50000+380000+134000+150000</f>
        <v>1228000</v>
      </c>
      <c r="E244" s="54" t="s">
        <v>24</v>
      </c>
      <c r="F244" s="27">
        <v>6400</v>
      </c>
      <c r="G244" s="174">
        <v>150000</v>
      </c>
    </row>
    <row r="245" spans="1:7" ht="21" customHeight="1">
      <c r="A245" s="85">
        <v>0</v>
      </c>
      <c r="B245" s="85"/>
      <c r="C245" s="85"/>
      <c r="D245" s="174">
        <v>0</v>
      </c>
      <c r="E245" s="54" t="s">
        <v>37</v>
      </c>
      <c r="F245" s="26" t="s">
        <v>38</v>
      </c>
      <c r="G245" s="174">
        <v>0</v>
      </c>
    </row>
    <row r="246" spans="1:7" ht="21" customHeight="1">
      <c r="A246" s="60">
        <v>177600</v>
      </c>
      <c r="B246" s="60"/>
      <c r="C246" s="60"/>
      <c r="D246" s="174">
        <v>116000</v>
      </c>
      <c r="E246" s="54" t="s">
        <v>37</v>
      </c>
      <c r="F246" s="26" t="s">
        <v>39</v>
      </c>
      <c r="G246" s="174">
        <v>116000</v>
      </c>
    </row>
    <row r="247" spans="1:7" ht="21" customHeight="1">
      <c r="A247" s="29">
        <v>3257000</v>
      </c>
      <c r="B247" s="29"/>
      <c r="C247" s="29"/>
      <c r="D247" s="174">
        <v>0</v>
      </c>
      <c r="E247" s="54" t="s">
        <v>40</v>
      </c>
      <c r="F247" s="26" t="s">
        <v>41</v>
      </c>
      <c r="G247" s="174">
        <v>0</v>
      </c>
    </row>
    <row r="248" spans="1:7" ht="21" customHeight="1" thickBot="1">
      <c r="A248" s="61">
        <f>SUM(A228:A247)</f>
        <v>20622316</v>
      </c>
      <c r="B248" s="61"/>
      <c r="C248" s="61"/>
      <c r="D248" s="173">
        <f>SUM(D228:D247)</f>
        <v>11874236.530000001</v>
      </c>
      <c r="E248" s="13"/>
      <c r="F248" s="26"/>
      <c r="G248" s="190">
        <f>SUM(G228:G247)</f>
        <v>2548798.87</v>
      </c>
    </row>
    <row r="249" spans="1:7" ht="21" customHeight="1" thickTop="1">
      <c r="A249" s="53"/>
      <c r="B249" s="53"/>
      <c r="C249" s="53"/>
      <c r="D249" s="174">
        <f>336900+150000+308650+225000</f>
        <v>1020550</v>
      </c>
      <c r="E249" s="54" t="s">
        <v>92</v>
      </c>
      <c r="F249" s="26" t="s">
        <v>43</v>
      </c>
      <c r="G249" s="184">
        <v>0</v>
      </c>
    </row>
    <row r="250" spans="1:7" ht="21" customHeight="1">
      <c r="A250" s="53"/>
      <c r="B250" s="53"/>
      <c r="C250" s="53"/>
      <c r="D250" s="68">
        <f>62834.04+99430.02+48883.15+47100+57469.69+67547.6+42477.89+48364.49+52443.13+82222.48+125948.55</f>
        <v>734721.04</v>
      </c>
      <c r="E250" s="54" t="s">
        <v>44</v>
      </c>
      <c r="F250" s="26" t="s">
        <v>45</v>
      </c>
      <c r="G250" s="184">
        <v>125948.55</v>
      </c>
    </row>
    <row r="251" spans="1:7" ht="21" customHeight="1">
      <c r="A251" s="53"/>
      <c r="B251" s="53"/>
      <c r="C251" s="53"/>
      <c r="D251" s="68">
        <f>619890.78+33500+84900+5250+70000</f>
        <v>813540.78</v>
      </c>
      <c r="E251" s="54" t="s">
        <v>102</v>
      </c>
      <c r="F251" s="26" t="s">
        <v>64</v>
      </c>
      <c r="G251" s="184">
        <v>0</v>
      </c>
    </row>
    <row r="252" spans="1:7" ht="21" customHeight="1">
      <c r="A252" s="53"/>
      <c r="B252" s="53"/>
      <c r="C252" s="53"/>
      <c r="D252" s="68">
        <v>491572</v>
      </c>
      <c r="E252" s="54" t="s">
        <v>130</v>
      </c>
      <c r="F252" s="26" t="s">
        <v>64</v>
      </c>
      <c r="G252" s="184">
        <v>0</v>
      </c>
    </row>
    <row r="253" spans="1:7" ht="21" customHeight="1">
      <c r="A253" s="53"/>
      <c r="B253" s="53"/>
      <c r="C253" s="53"/>
      <c r="D253" s="174">
        <v>0</v>
      </c>
      <c r="E253" s="54" t="s">
        <v>120</v>
      </c>
      <c r="F253" s="26"/>
      <c r="G253" s="184">
        <v>0</v>
      </c>
    </row>
    <row r="254" spans="1:7" ht="21" customHeight="1">
      <c r="A254" s="53"/>
      <c r="B254" s="53"/>
      <c r="C254" s="53"/>
      <c r="D254" s="174">
        <f>47606+27200+39000+65400+55200+229025+480500+40000+514720</f>
        <v>1498651</v>
      </c>
      <c r="E254" s="54" t="s">
        <v>46</v>
      </c>
      <c r="F254" s="26" t="s">
        <v>47</v>
      </c>
      <c r="G254" s="174">
        <v>514720</v>
      </c>
    </row>
    <row r="255" spans="1:7" ht="21" customHeight="1">
      <c r="A255" s="53"/>
      <c r="B255" s="53"/>
      <c r="C255" s="53"/>
      <c r="D255" s="185">
        <v>0</v>
      </c>
      <c r="E255" s="53" t="s">
        <v>48</v>
      </c>
      <c r="F255" s="63"/>
      <c r="G255" s="193">
        <v>0</v>
      </c>
    </row>
    <row r="256" spans="1:7" ht="21" customHeight="1">
      <c r="A256" s="53"/>
      <c r="B256" s="53"/>
      <c r="C256" s="53"/>
      <c r="D256" s="181">
        <f>SUM(D249:D255)</f>
        <v>4559034.82</v>
      </c>
      <c r="E256" s="20"/>
      <c r="F256" s="20"/>
      <c r="G256" s="194">
        <f>SUM(G249:G255)</f>
        <v>640668.55</v>
      </c>
    </row>
    <row r="257" spans="1:7" ht="21" customHeight="1">
      <c r="A257" s="53"/>
      <c r="B257" s="53"/>
      <c r="C257" s="53"/>
      <c r="D257" s="175">
        <f>D248+D256</f>
        <v>16433271.350000001</v>
      </c>
      <c r="E257" s="20" t="s">
        <v>49</v>
      </c>
      <c r="F257" s="20"/>
      <c r="G257" s="194">
        <f>G248+G256</f>
        <v>3189467.42</v>
      </c>
    </row>
    <row r="258" spans="1:7" ht="19.5" customHeight="1">
      <c r="A258" s="53"/>
      <c r="B258" s="53"/>
      <c r="C258" s="53"/>
      <c r="D258" s="68">
        <v>7760079.55</v>
      </c>
      <c r="E258" s="20" t="s">
        <v>50</v>
      </c>
      <c r="F258" s="20"/>
      <c r="G258" s="184"/>
    </row>
    <row r="259" spans="1:7" ht="19.5" customHeight="1">
      <c r="A259" s="53"/>
      <c r="B259" s="53"/>
      <c r="C259" s="53"/>
      <c r="D259" s="183"/>
      <c r="E259" s="64" t="s">
        <v>51</v>
      </c>
      <c r="F259" s="20"/>
      <c r="G259" s="174"/>
    </row>
    <row r="260" spans="1:7" ht="19.5" customHeight="1">
      <c r="A260" s="53"/>
      <c r="B260" s="53"/>
      <c r="C260" s="53"/>
      <c r="D260" s="181"/>
      <c r="E260" s="20" t="s">
        <v>52</v>
      </c>
      <c r="F260" s="20"/>
      <c r="G260" s="193">
        <v>1109385.03</v>
      </c>
    </row>
    <row r="261" spans="1:7" ht="21" customHeight="1" thickBot="1">
      <c r="A261" s="13"/>
      <c r="B261" s="13"/>
      <c r="C261" s="13"/>
      <c r="D261" s="173">
        <f>D190+D210-D257</f>
        <v>31365151.229999997</v>
      </c>
      <c r="E261" s="20" t="s">
        <v>53</v>
      </c>
      <c r="F261" s="20"/>
      <c r="G261" s="173">
        <f>G190+G210-G257</f>
        <v>31365151.229999997</v>
      </c>
    </row>
    <row r="262" spans="1:7" ht="21" customHeight="1" thickTop="1">
      <c r="A262" s="13"/>
      <c r="B262" s="13"/>
      <c r="C262" s="13"/>
      <c r="D262" s="171"/>
      <c r="E262" s="20"/>
      <c r="F262" s="20"/>
      <c r="G262" s="171"/>
    </row>
    <row r="263" spans="1:7" ht="21" customHeight="1">
      <c r="A263" s="18" t="s">
        <v>134</v>
      </c>
      <c r="B263" s="18"/>
      <c r="C263" s="18"/>
      <c r="D263" s="76"/>
      <c r="E263" s="18"/>
      <c r="F263" s="18"/>
      <c r="G263" s="76"/>
    </row>
    <row r="264" spans="1:7" ht="21" customHeight="1">
      <c r="A264" s="18" t="s">
        <v>139</v>
      </c>
      <c r="B264" s="18"/>
      <c r="C264" s="18"/>
      <c r="D264" s="76"/>
      <c r="E264" s="18"/>
      <c r="F264" s="18" t="s">
        <v>133</v>
      </c>
      <c r="G264" s="76"/>
    </row>
    <row r="265" spans="1:7" ht="21" customHeight="1">
      <c r="A265" s="18" t="s">
        <v>132</v>
      </c>
      <c r="B265" s="18"/>
      <c r="C265" s="18"/>
      <c r="D265" s="76"/>
      <c r="E265" s="18"/>
      <c r="F265" s="18" t="s">
        <v>138</v>
      </c>
      <c r="G265" s="76"/>
    </row>
    <row r="266" spans="1:7" ht="21" customHeight="1">
      <c r="A266" s="18"/>
      <c r="B266" s="18"/>
      <c r="C266" s="18"/>
      <c r="D266" s="76"/>
      <c r="E266" s="18"/>
      <c r="F266" s="18"/>
      <c r="G266" s="76"/>
    </row>
    <row r="267" spans="1:7" ht="21" customHeight="1">
      <c r="A267" s="18"/>
      <c r="B267" s="18"/>
      <c r="C267" s="18"/>
      <c r="D267" s="76"/>
      <c r="E267" s="18"/>
      <c r="F267" s="18"/>
      <c r="G267" s="76"/>
    </row>
  </sheetData>
  <sheetProtection/>
  <mergeCells count="17">
    <mergeCell ref="F88:G88"/>
    <mergeCell ref="A183:G183"/>
    <mergeCell ref="A185:G185"/>
    <mergeCell ref="A182:G182"/>
    <mergeCell ref="E135:F135"/>
    <mergeCell ref="E136:G136"/>
    <mergeCell ref="E126:G126"/>
    <mergeCell ref="A187:D187"/>
    <mergeCell ref="A224:D224"/>
    <mergeCell ref="E94:G94"/>
    <mergeCell ref="E125:G125"/>
    <mergeCell ref="E127:G127"/>
    <mergeCell ref="A2:G2"/>
    <mergeCell ref="A3:G3"/>
    <mergeCell ref="A5:G5"/>
    <mergeCell ref="A7:D7"/>
    <mergeCell ref="A48:D48"/>
  </mergeCells>
  <printOptions/>
  <pageMargins left="0.37" right="0.15748031496062992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130">
      <selection activeCell="C8" sqref="C8"/>
    </sheetView>
  </sheetViews>
  <sheetFormatPr defaultColWidth="9.140625" defaultRowHeight="21.75"/>
  <cols>
    <col min="1" max="1" width="58.7109375" style="309" customWidth="1"/>
    <col min="2" max="2" width="9.140625" style="310" customWidth="1"/>
    <col min="3" max="3" width="17.140625" style="311" customWidth="1"/>
    <col min="4" max="4" width="16.7109375" style="312" bestFit="1" customWidth="1"/>
    <col min="5" max="5" width="15.7109375" style="311" customWidth="1"/>
    <col min="6" max="6" width="5.140625" style="309" customWidth="1"/>
    <col min="7" max="7" width="9.140625" style="309" customWidth="1"/>
    <col min="8" max="8" width="21.421875" style="309" customWidth="1"/>
    <col min="9" max="16384" width="9.140625" style="309" customWidth="1"/>
  </cols>
  <sheetData>
    <row r="1" ht="23.25">
      <c r="E1" s="312" t="s">
        <v>329</v>
      </c>
    </row>
    <row r="2" spans="1:5" ht="20.25" customHeight="1">
      <c r="A2" s="416" t="s">
        <v>330</v>
      </c>
      <c r="B2" s="416"/>
      <c r="C2" s="416"/>
      <c r="D2" s="416"/>
      <c r="E2" s="416"/>
    </row>
    <row r="3" spans="1:5" ht="24" customHeight="1">
      <c r="A3" s="416" t="s">
        <v>331</v>
      </c>
      <c r="B3" s="416"/>
      <c r="C3" s="416"/>
      <c r="D3" s="416"/>
      <c r="E3" s="416"/>
    </row>
    <row r="4" spans="1:5" ht="20.25" customHeight="1">
      <c r="A4" s="416" t="s">
        <v>585</v>
      </c>
      <c r="B4" s="416"/>
      <c r="C4" s="416"/>
      <c r="D4" s="416"/>
      <c r="E4" s="416"/>
    </row>
    <row r="5" spans="1:5" ht="27.75" customHeight="1">
      <c r="A5" s="313" t="s">
        <v>5</v>
      </c>
      <c r="B5" s="314" t="s">
        <v>54</v>
      </c>
      <c r="C5" s="315" t="s">
        <v>3</v>
      </c>
      <c r="D5" s="316" t="s">
        <v>332</v>
      </c>
      <c r="E5" s="315" t="s">
        <v>2</v>
      </c>
    </row>
    <row r="6" spans="1:5" ht="23.25" customHeight="1">
      <c r="A6" s="317" t="s">
        <v>333</v>
      </c>
      <c r="B6" s="318"/>
      <c r="C6" s="319"/>
      <c r="D6" s="320"/>
      <c r="E6" s="321"/>
    </row>
    <row r="7" spans="1:5" ht="23.25">
      <c r="A7" s="322" t="s">
        <v>334</v>
      </c>
      <c r="B7" s="323" t="s">
        <v>11</v>
      </c>
      <c r="C7" s="324"/>
      <c r="D7" s="325"/>
      <c r="E7" s="324"/>
    </row>
    <row r="8" spans="1:5" ht="19.5" customHeight="1">
      <c r="A8" s="322" t="s">
        <v>335</v>
      </c>
      <c r="B8" s="323" t="s">
        <v>71</v>
      </c>
      <c r="C8" s="324">
        <v>30000</v>
      </c>
      <c r="D8" s="325">
        <f>SUM(E8)</f>
        <v>10759</v>
      </c>
      <c r="E8" s="324">
        <v>10759</v>
      </c>
    </row>
    <row r="9" spans="1:5" ht="19.5" customHeight="1">
      <c r="A9" s="322" t="s">
        <v>336</v>
      </c>
      <c r="B9" s="323" t="s">
        <v>72</v>
      </c>
      <c r="C9" s="324">
        <v>135000</v>
      </c>
      <c r="D9" s="325">
        <f>SUM(E9)</f>
        <v>39453.78</v>
      </c>
      <c r="E9" s="324">
        <v>39453.78</v>
      </c>
    </row>
    <row r="10" spans="1:5" ht="19.5" customHeight="1">
      <c r="A10" s="322" t="s">
        <v>337</v>
      </c>
      <c r="B10" s="323" t="s">
        <v>73</v>
      </c>
      <c r="C10" s="324">
        <v>0</v>
      </c>
      <c r="D10" s="325"/>
      <c r="E10" s="324"/>
    </row>
    <row r="11" spans="1:5" ht="19.5" customHeight="1">
      <c r="A11" s="322" t="s">
        <v>338</v>
      </c>
      <c r="B11" s="323" t="s">
        <v>74</v>
      </c>
      <c r="C11" s="324">
        <v>0</v>
      </c>
      <c r="D11" s="325"/>
      <c r="E11" s="324"/>
    </row>
    <row r="12" spans="1:5" ht="19.5" customHeight="1">
      <c r="A12" s="322" t="s">
        <v>339</v>
      </c>
      <c r="B12" s="323" t="s">
        <v>340</v>
      </c>
      <c r="C12" s="324">
        <v>0</v>
      </c>
      <c r="D12" s="325"/>
      <c r="E12" s="324"/>
    </row>
    <row r="13" spans="1:5" ht="21.75" customHeight="1">
      <c r="A13" s="326" t="s">
        <v>341</v>
      </c>
      <c r="B13" s="327" t="s">
        <v>342</v>
      </c>
      <c r="C13" s="328">
        <v>0</v>
      </c>
      <c r="D13" s="329"/>
      <c r="E13" s="330"/>
    </row>
    <row r="14" spans="1:5" ht="22.5" customHeight="1">
      <c r="A14" s="313" t="s">
        <v>224</v>
      </c>
      <c r="B14" s="314"/>
      <c r="C14" s="331">
        <f>SUM(C7:C13)</f>
        <v>165000</v>
      </c>
      <c r="D14" s="331">
        <f>SUM(D7:D13)</f>
        <v>50212.78</v>
      </c>
      <c r="E14" s="331">
        <f>SUM(E8:E12)</f>
        <v>50212.78</v>
      </c>
    </row>
    <row r="15" spans="1:5" ht="19.5" customHeight="1">
      <c r="A15" s="317" t="s">
        <v>343</v>
      </c>
      <c r="B15" s="332" t="s">
        <v>13</v>
      </c>
      <c r="C15" s="333"/>
      <c r="D15" s="334"/>
      <c r="E15" s="321"/>
    </row>
    <row r="16" spans="1:5" ht="22.5" customHeight="1">
      <c r="A16" s="322" t="s">
        <v>344</v>
      </c>
      <c r="B16" s="323" t="s">
        <v>75</v>
      </c>
      <c r="C16" s="324"/>
      <c r="D16" s="325"/>
      <c r="E16" s="324">
        <v>0</v>
      </c>
    </row>
    <row r="17" spans="1:5" ht="22.5" customHeight="1">
      <c r="A17" s="322" t="s">
        <v>345</v>
      </c>
      <c r="B17" s="323" t="s">
        <v>346</v>
      </c>
      <c r="C17" s="324"/>
      <c r="D17" s="325">
        <v>349.2</v>
      </c>
      <c r="E17" s="324">
        <v>349.2</v>
      </c>
    </row>
    <row r="18" spans="1:5" ht="23.25">
      <c r="A18" s="322" t="s">
        <v>347</v>
      </c>
      <c r="B18" s="323" t="s">
        <v>348</v>
      </c>
      <c r="C18" s="324"/>
      <c r="D18" s="325"/>
      <c r="E18" s="324">
        <v>0</v>
      </c>
    </row>
    <row r="19" spans="1:5" ht="23.25">
      <c r="A19" s="322" t="s">
        <v>349</v>
      </c>
      <c r="B19" s="323" t="s">
        <v>350</v>
      </c>
      <c r="C19" s="324"/>
      <c r="D19" s="325"/>
      <c r="E19" s="324"/>
    </row>
    <row r="20" spans="1:5" ht="22.5" customHeight="1">
      <c r="A20" s="322" t="s">
        <v>351</v>
      </c>
      <c r="B20" s="323" t="s">
        <v>76</v>
      </c>
      <c r="C20" s="324">
        <v>2500</v>
      </c>
      <c r="D20" s="325">
        <v>62</v>
      </c>
      <c r="E20" s="324">
        <v>40</v>
      </c>
    </row>
    <row r="21" spans="1:5" ht="23.25">
      <c r="A21" s="322" t="s">
        <v>352</v>
      </c>
      <c r="B21" s="323" t="s">
        <v>353</v>
      </c>
      <c r="C21" s="324"/>
      <c r="D21" s="325"/>
      <c r="E21" s="324">
        <v>0</v>
      </c>
    </row>
    <row r="22" spans="1:5" ht="20.25" customHeight="1">
      <c r="A22" s="322" t="s">
        <v>354</v>
      </c>
      <c r="B22" s="323" t="s">
        <v>355</v>
      </c>
      <c r="C22" s="324">
        <v>5000</v>
      </c>
      <c r="D22" s="325"/>
      <c r="E22" s="324">
        <v>0</v>
      </c>
    </row>
    <row r="23" spans="1:5" ht="20.25" customHeight="1">
      <c r="A23" s="322" t="s">
        <v>356</v>
      </c>
      <c r="B23" s="323" t="s">
        <v>357</v>
      </c>
      <c r="C23" s="324"/>
      <c r="D23" s="325"/>
      <c r="E23" s="324"/>
    </row>
    <row r="24" spans="1:5" ht="20.25" customHeight="1">
      <c r="A24" s="322" t="s">
        <v>358</v>
      </c>
      <c r="B24" s="323"/>
      <c r="C24" s="324"/>
      <c r="D24" s="325"/>
      <c r="E24" s="324"/>
    </row>
    <row r="25" spans="1:5" ht="23.25">
      <c r="A25" s="322" t="s">
        <v>359</v>
      </c>
      <c r="B25" s="323"/>
      <c r="C25" s="324"/>
      <c r="D25" s="325"/>
      <c r="E25" s="324"/>
    </row>
    <row r="26" spans="1:5" ht="23.25">
      <c r="A26" s="322" t="s">
        <v>360</v>
      </c>
      <c r="B26" s="323" t="s">
        <v>361</v>
      </c>
      <c r="C26" s="324"/>
      <c r="D26" s="325"/>
      <c r="E26" s="324"/>
    </row>
    <row r="27" spans="1:5" ht="23.25">
      <c r="A27" s="322" t="s">
        <v>362</v>
      </c>
      <c r="B27" s="323" t="s">
        <v>363</v>
      </c>
      <c r="C27" s="324">
        <v>500</v>
      </c>
      <c r="D27" s="325">
        <f>10+20</f>
        <v>30</v>
      </c>
      <c r="E27" s="324">
        <v>20</v>
      </c>
    </row>
    <row r="28" spans="1:5" ht="21" customHeight="1">
      <c r="A28" s="322" t="s">
        <v>364</v>
      </c>
      <c r="B28" s="323"/>
      <c r="C28" s="324"/>
      <c r="D28" s="325"/>
      <c r="E28" s="324"/>
    </row>
    <row r="29" spans="1:5" ht="21" customHeight="1">
      <c r="A29" s="322" t="s">
        <v>365</v>
      </c>
      <c r="B29" s="323"/>
      <c r="C29" s="324"/>
      <c r="D29" s="325"/>
      <c r="E29" s="324"/>
    </row>
    <row r="30" spans="1:5" ht="21" customHeight="1">
      <c r="A30" s="322" t="s">
        <v>366</v>
      </c>
      <c r="B30" s="323" t="s">
        <v>367</v>
      </c>
      <c r="C30" s="324"/>
      <c r="D30" s="325"/>
      <c r="E30" s="324">
        <v>0</v>
      </c>
    </row>
    <row r="31" spans="1:5" ht="21" customHeight="1">
      <c r="A31" s="322" t="s">
        <v>368</v>
      </c>
      <c r="B31" s="323" t="s">
        <v>369</v>
      </c>
      <c r="C31" s="324"/>
      <c r="D31" s="325"/>
      <c r="E31" s="324">
        <v>0</v>
      </c>
    </row>
    <row r="32" spans="1:5" ht="21.75" customHeight="1">
      <c r="A32" s="322" t="s">
        <v>370</v>
      </c>
      <c r="B32" s="323" t="s">
        <v>371</v>
      </c>
      <c r="C32" s="324"/>
      <c r="D32" s="325"/>
      <c r="E32" s="324">
        <v>0</v>
      </c>
    </row>
    <row r="33" spans="1:5" ht="24" customHeight="1">
      <c r="A33" s="322" t="s">
        <v>372</v>
      </c>
      <c r="B33" s="323" t="s">
        <v>373</v>
      </c>
      <c r="C33" s="324"/>
      <c r="D33" s="325"/>
      <c r="E33" s="324">
        <v>0</v>
      </c>
    </row>
    <row r="34" spans="1:5" ht="21" customHeight="1">
      <c r="A34" s="322" t="s">
        <v>374</v>
      </c>
      <c r="B34" s="323"/>
      <c r="C34" s="324"/>
      <c r="D34" s="325"/>
      <c r="E34" s="324"/>
    </row>
    <row r="35" spans="1:5" ht="23.25">
      <c r="A35" s="322" t="s">
        <v>375</v>
      </c>
      <c r="B35" s="323" t="s">
        <v>376</v>
      </c>
      <c r="C35" s="324"/>
      <c r="D35" s="325"/>
      <c r="E35" s="324">
        <v>0</v>
      </c>
    </row>
    <row r="36" spans="1:5" ht="23.25">
      <c r="A36" s="322" t="s">
        <v>377</v>
      </c>
      <c r="B36" s="323" t="s">
        <v>378</v>
      </c>
      <c r="C36" s="324"/>
      <c r="D36" s="325"/>
      <c r="E36" s="324">
        <v>0</v>
      </c>
    </row>
    <row r="37" spans="1:5" ht="23.25">
      <c r="A37" s="322" t="s">
        <v>379</v>
      </c>
      <c r="B37" s="323" t="s">
        <v>380</v>
      </c>
      <c r="C37" s="324">
        <v>2000</v>
      </c>
      <c r="D37" s="325"/>
      <c r="E37" s="324">
        <v>0</v>
      </c>
    </row>
    <row r="38" spans="1:5" ht="23.25">
      <c r="A38" s="322" t="s">
        <v>381</v>
      </c>
      <c r="B38" s="323" t="s">
        <v>382</v>
      </c>
      <c r="C38" s="324"/>
      <c r="D38" s="325"/>
      <c r="E38" s="324">
        <v>0</v>
      </c>
    </row>
    <row r="39" spans="1:5" ht="23.25">
      <c r="A39" s="322" t="s">
        <v>383</v>
      </c>
      <c r="B39" s="323" t="s">
        <v>384</v>
      </c>
      <c r="C39" s="324"/>
      <c r="D39" s="325"/>
      <c r="E39" s="324">
        <v>0</v>
      </c>
    </row>
    <row r="40" spans="1:5" ht="23.25">
      <c r="A40" s="322" t="s">
        <v>385</v>
      </c>
      <c r="B40" s="323" t="s">
        <v>386</v>
      </c>
      <c r="C40" s="324">
        <v>50000</v>
      </c>
      <c r="D40" s="325">
        <v>1900</v>
      </c>
      <c r="E40" s="324">
        <v>0</v>
      </c>
    </row>
    <row r="41" spans="1:5" ht="23.25">
      <c r="A41" s="322" t="s">
        <v>387</v>
      </c>
      <c r="B41" s="323" t="s">
        <v>388</v>
      </c>
      <c r="C41" s="324">
        <v>1000</v>
      </c>
      <c r="D41" s="325"/>
      <c r="E41" s="324">
        <v>0</v>
      </c>
    </row>
    <row r="42" spans="1:5" ht="23.25">
      <c r="A42" s="322" t="s">
        <v>590</v>
      </c>
      <c r="B42" s="323" t="s">
        <v>389</v>
      </c>
      <c r="C42" s="324">
        <v>5000</v>
      </c>
      <c r="D42" s="325"/>
      <c r="E42" s="324">
        <v>0</v>
      </c>
    </row>
    <row r="43" spans="1:5" ht="28.5" customHeight="1">
      <c r="A43" s="322" t="s">
        <v>390</v>
      </c>
      <c r="B43" s="323" t="s">
        <v>391</v>
      </c>
      <c r="C43" s="324"/>
      <c r="D43" s="325"/>
      <c r="E43" s="324">
        <v>0</v>
      </c>
    </row>
    <row r="44" spans="1:5" ht="28.5" customHeight="1">
      <c r="A44" s="322" t="s">
        <v>392</v>
      </c>
      <c r="B44" s="323" t="s">
        <v>393</v>
      </c>
      <c r="C44" s="324"/>
      <c r="D44" s="325"/>
      <c r="E44" s="324">
        <v>0</v>
      </c>
    </row>
    <row r="45" spans="1:5" ht="28.5" customHeight="1">
      <c r="A45" s="322" t="s">
        <v>394</v>
      </c>
      <c r="B45" s="323"/>
      <c r="C45" s="324"/>
      <c r="D45" s="325"/>
      <c r="E45" s="324">
        <v>0</v>
      </c>
    </row>
    <row r="46" spans="1:5" ht="28.5" customHeight="1">
      <c r="A46" s="322" t="s">
        <v>395</v>
      </c>
      <c r="B46" s="323" t="s">
        <v>396</v>
      </c>
      <c r="C46" s="324"/>
      <c r="D46" s="325"/>
      <c r="E46" s="324">
        <v>0</v>
      </c>
    </row>
    <row r="47" spans="1:5" ht="27.75" customHeight="1">
      <c r="A47" s="322" t="s">
        <v>397</v>
      </c>
      <c r="B47" s="323" t="s">
        <v>196</v>
      </c>
      <c r="C47" s="324">
        <v>2000</v>
      </c>
      <c r="D47" s="325">
        <v>20</v>
      </c>
      <c r="E47" s="324">
        <v>0</v>
      </c>
    </row>
    <row r="48" spans="1:5" ht="27.75" customHeight="1">
      <c r="A48" s="322" t="s">
        <v>398</v>
      </c>
      <c r="B48" s="323" t="s">
        <v>399</v>
      </c>
      <c r="C48" s="324"/>
      <c r="D48" s="325"/>
      <c r="E48" s="324">
        <v>0</v>
      </c>
    </row>
    <row r="49" spans="1:5" ht="27.75" customHeight="1">
      <c r="A49" s="326" t="s">
        <v>400</v>
      </c>
      <c r="B49" s="323" t="s">
        <v>77</v>
      </c>
      <c r="C49" s="324"/>
      <c r="D49" s="325"/>
      <c r="E49" s="324">
        <v>0</v>
      </c>
    </row>
    <row r="50" spans="1:5" ht="27.75" customHeight="1">
      <c r="A50" s="326" t="s">
        <v>401</v>
      </c>
      <c r="B50" s="323" t="s">
        <v>402</v>
      </c>
      <c r="C50" s="324">
        <v>4500</v>
      </c>
      <c r="D50" s="325">
        <v>50</v>
      </c>
      <c r="E50" s="324">
        <v>0</v>
      </c>
    </row>
    <row r="51" spans="1:5" ht="27.75" customHeight="1">
      <c r="A51" s="326" t="s">
        <v>403</v>
      </c>
      <c r="B51" s="323"/>
      <c r="C51" s="324"/>
      <c r="D51" s="325"/>
      <c r="E51" s="324">
        <v>0</v>
      </c>
    </row>
    <row r="52" spans="1:5" ht="27.75" customHeight="1">
      <c r="A52" s="326" t="s">
        <v>404</v>
      </c>
      <c r="B52" s="332"/>
      <c r="C52" s="333"/>
      <c r="D52" s="334"/>
      <c r="E52" s="333"/>
    </row>
    <row r="53" spans="1:5" ht="27.75" customHeight="1">
      <c r="A53" s="313" t="s">
        <v>224</v>
      </c>
      <c r="B53" s="314"/>
      <c r="C53" s="331">
        <f>SUM(C16:C50)</f>
        <v>72500</v>
      </c>
      <c r="D53" s="331">
        <f>SUM(D16:D52)</f>
        <v>2411.2</v>
      </c>
      <c r="E53" s="331">
        <f>SUM(E16:E50)</f>
        <v>409.2</v>
      </c>
    </row>
    <row r="54" spans="1:5" ht="27.75" customHeight="1">
      <c r="A54" s="317" t="s">
        <v>405</v>
      </c>
      <c r="B54" s="318"/>
      <c r="C54" s="319"/>
      <c r="D54" s="320"/>
      <c r="E54" s="321"/>
    </row>
    <row r="55" spans="1:5" ht="27.75" customHeight="1">
      <c r="A55" s="322" t="s">
        <v>406</v>
      </c>
      <c r="B55" s="323" t="s">
        <v>15</v>
      </c>
      <c r="C55" s="324"/>
      <c r="D55" s="325"/>
      <c r="E55" s="324">
        <v>0</v>
      </c>
    </row>
    <row r="56" spans="1:5" ht="27.75" customHeight="1">
      <c r="A56" s="322" t="s">
        <v>407</v>
      </c>
      <c r="B56" s="323" t="s">
        <v>408</v>
      </c>
      <c r="C56" s="324"/>
      <c r="D56" s="325"/>
      <c r="E56" s="324">
        <v>0</v>
      </c>
    </row>
    <row r="57" spans="1:5" ht="27.75" customHeight="1">
      <c r="A57" s="322" t="s">
        <v>409</v>
      </c>
      <c r="B57" s="323" t="s">
        <v>410</v>
      </c>
      <c r="C57" s="324">
        <v>150000</v>
      </c>
      <c r="D57" s="325">
        <v>2036.07</v>
      </c>
      <c r="E57" s="324">
        <v>0</v>
      </c>
    </row>
    <row r="58" spans="1:5" ht="27.75" customHeight="1">
      <c r="A58" s="322" t="s">
        <v>411</v>
      </c>
      <c r="B58" s="323" t="s">
        <v>412</v>
      </c>
      <c r="C58" s="324">
        <v>25000</v>
      </c>
      <c r="D58" s="325"/>
      <c r="E58" s="324">
        <v>0</v>
      </c>
    </row>
    <row r="59" spans="1:5" ht="27.75" customHeight="1">
      <c r="A59" s="326" t="s">
        <v>413</v>
      </c>
      <c r="B59" s="327" t="s">
        <v>414</v>
      </c>
      <c r="C59" s="328"/>
      <c r="D59" s="329"/>
      <c r="E59" s="330">
        <v>0</v>
      </c>
    </row>
    <row r="60" spans="1:5" ht="27.75" customHeight="1">
      <c r="A60" s="313" t="s">
        <v>224</v>
      </c>
      <c r="B60" s="314"/>
      <c r="C60" s="331">
        <f>SUM(C55:C59)</f>
        <v>175000</v>
      </c>
      <c r="D60" s="331">
        <f>SUM(D55:D59)</f>
        <v>2036.07</v>
      </c>
      <c r="E60" s="331">
        <f>SUM(E55:E59)</f>
        <v>0</v>
      </c>
    </row>
    <row r="61" spans="1:5" ht="27.75" customHeight="1">
      <c r="A61" s="317" t="s">
        <v>415</v>
      </c>
      <c r="B61" s="318" t="s">
        <v>17</v>
      </c>
      <c r="C61" s="319"/>
      <c r="D61" s="320"/>
      <c r="E61" s="321"/>
    </row>
    <row r="62" spans="1:5" ht="27.75" customHeight="1">
      <c r="A62" s="322" t="s">
        <v>416</v>
      </c>
      <c r="B62" s="323" t="s">
        <v>417</v>
      </c>
      <c r="C62" s="324"/>
      <c r="D62" s="325"/>
      <c r="E62" s="324">
        <v>0</v>
      </c>
    </row>
    <row r="63" spans="1:5" ht="27.75" customHeight="1">
      <c r="A63" s="322" t="s">
        <v>418</v>
      </c>
      <c r="B63" s="323" t="s">
        <v>419</v>
      </c>
      <c r="C63" s="324"/>
      <c r="D63" s="325"/>
      <c r="E63" s="324">
        <v>0</v>
      </c>
    </row>
    <row r="64" spans="1:5" ht="27.75" customHeight="1">
      <c r="A64" s="326" t="s">
        <v>420</v>
      </c>
      <c r="B64" s="327" t="s">
        <v>421</v>
      </c>
      <c r="C64" s="328"/>
      <c r="D64" s="329"/>
      <c r="E64" s="330">
        <v>0</v>
      </c>
    </row>
    <row r="65" spans="1:5" ht="27.75" customHeight="1">
      <c r="A65" s="335" t="s">
        <v>224</v>
      </c>
      <c r="B65" s="314"/>
      <c r="C65" s="331">
        <f>SUM(C62:C64)</f>
        <v>0</v>
      </c>
      <c r="D65" s="331">
        <f>SUM(D62:D64)</f>
        <v>0</v>
      </c>
      <c r="E65" s="331">
        <f>SUM(E62:E64)</f>
        <v>0</v>
      </c>
    </row>
    <row r="66" spans="1:5" ht="27.75" customHeight="1">
      <c r="A66" s="336" t="s">
        <v>422</v>
      </c>
      <c r="B66" s="318"/>
      <c r="C66" s="319"/>
      <c r="D66" s="320"/>
      <c r="E66" s="321"/>
    </row>
    <row r="67" spans="1:5" ht="27.75" customHeight="1">
      <c r="A67" s="322" t="s">
        <v>423</v>
      </c>
      <c r="B67" s="323" t="s">
        <v>19</v>
      </c>
      <c r="C67" s="324"/>
      <c r="D67" s="325"/>
      <c r="E67" s="324">
        <v>0</v>
      </c>
    </row>
    <row r="68" spans="1:5" ht="27.75" customHeight="1">
      <c r="A68" s="322" t="s">
        <v>424</v>
      </c>
      <c r="B68" s="323" t="s">
        <v>425</v>
      </c>
      <c r="C68" s="324">
        <v>85000</v>
      </c>
      <c r="D68" s="325"/>
      <c r="E68" s="333">
        <v>0</v>
      </c>
    </row>
    <row r="69" spans="1:5" ht="27.75" customHeight="1">
      <c r="A69" s="322" t="s">
        <v>426</v>
      </c>
      <c r="B69" s="323" t="s">
        <v>198</v>
      </c>
      <c r="C69" s="324"/>
      <c r="D69" s="325"/>
      <c r="E69" s="324">
        <v>0</v>
      </c>
    </row>
    <row r="70" spans="1:5" ht="27.75" customHeight="1">
      <c r="A70" s="322" t="s">
        <v>427</v>
      </c>
      <c r="B70" s="323" t="s">
        <v>428</v>
      </c>
      <c r="C70" s="324"/>
      <c r="D70" s="325"/>
      <c r="E70" s="324">
        <v>0</v>
      </c>
    </row>
    <row r="71" spans="1:5" ht="27.75" customHeight="1">
      <c r="A71" s="322" t="s">
        <v>429</v>
      </c>
      <c r="B71" s="323" t="s">
        <v>430</v>
      </c>
      <c r="C71" s="324"/>
      <c r="D71" s="325"/>
      <c r="E71" s="324">
        <v>0</v>
      </c>
    </row>
    <row r="72" spans="1:5" ht="27.75" customHeight="1">
      <c r="A72" s="322" t="s">
        <v>584</v>
      </c>
      <c r="B72" s="323" t="s">
        <v>431</v>
      </c>
      <c r="C72" s="324"/>
      <c r="D72" s="325"/>
      <c r="E72" s="324">
        <v>0</v>
      </c>
    </row>
    <row r="73" spans="1:5" ht="27.75" customHeight="1">
      <c r="A73" s="326" t="s">
        <v>432</v>
      </c>
      <c r="B73" s="327" t="s">
        <v>433</v>
      </c>
      <c r="C73" s="328">
        <v>45000</v>
      </c>
      <c r="D73" s="329">
        <v>200</v>
      </c>
      <c r="E73" s="330">
        <v>0</v>
      </c>
    </row>
    <row r="74" spans="1:5" ht="27.75" customHeight="1">
      <c r="A74" s="313" t="s">
        <v>224</v>
      </c>
      <c r="B74" s="314"/>
      <c r="C74" s="331">
        <f>SUM(C67:C73)</f>
        <v>130000</v>
      </c>
      <c r="D74" s="331">
        <f>SUM(D66:D73)</f>
        <v>200</v>
      </c>
      <c r="E74" s="331">
        <f>SUM(E67:E73)</f>
        <v>0</v>
      </c>
    </row>
    <row r="75" spans="1:5" ht="27.75" customHeight="1">
      <c r="A75" s="317" t="s">
        <v>434</v>
      </c>
      <c r="B75" s="318" t="s">
        <v>21</v>
      </c>
      <c r="C75" s="319"/>
      <c r="D75" s="320"/>
      <c r="E75" s="321"/>
    </row>
    <row r="76" spans="1:5" ht="27.75" customHeight="1">
      <c r="A76" s="326" t="s">
        <v>435</v>
      </c>
      <c r="B76" s="327" t="s">
        <v>436</v>
      </c>
      <c r="C76" s="328"/>
      <c r="D76" s="329"/>
      <c r="E76" s="337"/>
    </row>
    <row r="77" spans="1:5" ht="27.75" customHeight="1">
      <c r="A77" s="313" t="s">
        <v>224</v>
      </c>
      <c r="B77" s="314"/>
      <c r="C77" s="331">
        <f>SUM(C76)</f>
        <v>0</v>
      </c>
      <c r="D77" s="331">
        <f>SUM(D76)</f>
        <v>0</v>
      </c>
      <c r="E77" s="331">
        <f>SUM(E76)</f>
        <v>0</v>
      </c>
    </row>
    <row r="78" spans="1:5" ht="27.75" customHeight="1">
      <c r="A78" s="317" t="s">
        <v>437</v>
      </c>
      <c r="C78" s="319"/>
      <c r="D78" s="320"/>
      <c r="E78" s="338"/>
    </row>
    <row r="79" spans="1:5" ht="27.75" customHeight="1">
      <c r="A79" s="317"/>
      <c r="B79" s="318" t="s">
        <v>23</v>
      </c>
      <c r="C79" s="319"/>
      <c r="D79" s="320"/>
      <c r="E79" s="333"/>
    </row>
    <row r="80" spans="1:5" ht="27.75" customHeight="1">
      <c r="A80" s="339" t="s">
        <v>438</v>
      </c>
      <c r="B80" s="323" t="s">
        <v>185</v>
      </c>
      <c r="C80" s="324"/>
      <c r="D80" s="325"/>
      <c r="E80" s="324"/>
    </row>
    <row r="81" spans="1:5" ht="27.75" customHeight="1">
      <c r="A81" s="339" t="s">
        <v>439</v>
      </c>
      <c r="B81" s="323"/>
      <c r="C81" s="324">
        <v>8600000</v>
      </c>
      <c r="D81" s="324">
        <f>2525022.63+611615.5</f>
        <v>3136638.13</v>
      </c>
      <c r="E81" s="324">
        <v>611615.5</v>
      </c>
    </row>
    <row r="82" spans="1:5" ht="27.75" customHeight="1">
      <c r="A82" s="339" t="s">
        <v>440</v>
      </c>
      <c r="B82" s="323"/>
      <c r="C82" s="324">
        <v>2000000</v>
      </c>
      <c r="D82" s="325">
        <f>479013.95+164263.74</f>
        <v>643277.69</v>
      </c>
      <c r="E82" s="340">
        <v>164263.74</v>
      </c>
    </row>
    <row r="83" spans="1:5" ht="27.75" customHeight="1">
      <c r="A83" s="339" t="s">
        <v>441</v>
      </c>
      <c r="B83" s="323" t="s">
        <v>187</v>
      </c>
      <c r="C83" s="324">
        <v>150000</v>
      </c>
      <c r="D83" s="325">
        <f>16237.72+30087.33</f>
        <v>46325.05</v>
      </c>
      <c r="E83" s="340">
        <v>30087.33</v>
      </c>
    </row>
    <row r="84" spans="1:5" ht="27.75" customHeight="1">
      <c r="A84" s="339" t="s">
        <v>442</v>
      </c>
      <c r="B84" s="323" t="s">
        <v>179</v>
      </c>
      <c r="C84" s="324">
        <v>900000</v>
      </c>
      <c r="D84" s="325">
        <f>207600.89+90496.05</f>
        <v>298096.94</v>
      </c>
      <c r="E84" s="324">
        <v>90496.05</v>
      </c>
    </row>
    <row r="85" spans="1:5" ht="27.75" customHeight="1">
      <c r="A85" s="339" t="s">
        <v>443</v>
      </c>
      <c r="B85" s="323" t="s">
        <v>181</v>
      </c>
      <c r="C85" s="324">
        <v>1827500</v>
      </c>
      <c r="D85" s="325">
        <f>423954.23+165842.24</f>
        <v>589796.47</v>
      </c>
      <c r="E85" s="324">
        <v>165842.24</v>
      </c>
    </row>
    <row r="86" spans="1:5" ht="27.75" customHeight="1">
      <c r="A86" s="339" t="s">
        <v>444</v>
      </c>
      <c r="B86" s="323" t="s">
        <v>183</v>
      </c>
      <c r="C86" s="324"/>
      <c r="D86" s="325">
        <f>SUM(E86)</f>
        <v>118088.42</v>
      </c>
      <c r="E86" s="340">
        <v>118088.42</v>
      </c>
    </row>
    <row r="87" spans="1:7" ht="27.75" customHeight="1">
      <c r="A87" s="339" t="s">
        <v>445</v>
      </c>
      <c r="B87" s="323" t="s">
        <v>192</v>
      </c>
      <c r="C87" s="324">
        <v>450000</v>
      </c>
      <c r="D87" s="325">
        <f>28781+29834+13654</f>
        <v>72269</v>
      </c>
      <c r="E87" s="340">
        <v>13654</v>
      </c>
      <c r="G87" s="309" t="s">
        <v>446</v>
      </c>
    </row>
    <row r="88" spans="1:5" ht="27.75" customHeight="1">
      <c r="A88" s="339" t="s">
        <v>447</v>
      </c>
      <c r="B88" s="323" t="s">
        <v>448</v>
      </c>
      <c r="C88" s="324"/>
      <c r="D88" s="325"/>
      <c r="E88" s="324"/>
    </row>
    <row r="89" spans="1:5" ht="27.75" customHeight="1">
      <c r="A89" s="339" t="s">
        <v>449</v>
      </c>
      <c r="B89" s="323" t="s">
        <v>189</v>
      </c>
      <c r="C89" s="324">
        <v>50000</v>
      </c>
      <c r="D89" s="325"/>
      <c r="E89" s="340">
        <v>0</v>
      </c>
    </row>
    <row r="90" spans="1:5" ht="27.75" customHeight="1">
      <c r="A90" s="339" t="s">
        <v>450</v>
      </c>
      <c r="B90" s="323" t="s">
        <v>191</v>
      </c>
      <c r="C90" s="324">
        <v>80000</v>
      </c>
      <c r="D90" s="325">
        <v>9319.34</v>
      </c>
      <c r="E90" s="340">
        <v>0</v>
      </c>
    </row>
    <row r="91" spans="1:5" ht="27.75" customHeight="1">
      <c r="A91" s="341" t="s">
        <v>451</v>
      </c>
      <c r="B91" s="327"/>
      <c r="C91" s="328"/>
      <c r="D91" s="329"/>
      <c r="E91" s="330"/>
    </row>
    <row r="92" spans="1:8" ht="26.25" customHeight="1">
      <c r="A92" s="313" t="s">
        <v>224</v>
      </c>
      <c r="B92" s="314"/>
      <c r="C92" s="331">
        <f>SUM(C80:C91)</f>
        <v>14057500</v>
      </c>
      <c r="D92" s="331">
        <f>SUM(D81:D91)</f>
        <v>4913811.039999999</v>
      </c>
      <c r="E92" s="331">
        <f>SUM(E81:E91)</f>
        <v>1194047.2799999998</v>
      </c>
      <c r="H92" s="400"/>
    </row>
    <row r="93" spans="1:5" ht="23.25">
      <c r="A93" s="317" t="s">
        <v>452</v>
      </c>
      <c r="B93" s="318"/>
      <c r="C93" s="319"/>
      <c r="D93" s="334"/>
      <c r="E93" s="321"/>
    </row>
    <row r="94" spans="1:5" ht="24" thickBot="1">
      <c r="A94" s="322" t="s">
        <v>453</v>
      </c>
      <c r="B94" s="323">
        <v>2002</v>
      </c>
      <c r="C94" s="324">
        <v>6400000</v>
      </c>
      <c r="D94" s="342">
        <f>SUM(D95:D100)</f>
        <v>3909681</v>
      </c>
      <c r="E94" s="342">
        <f>SUM(D95:D100)</f>
        <v>3909681</v>
      </c>
    </row>
    <row r="95" spans="1:5" ht="24" thickTop="1">
      <c r="A95" s="322" t="s">
        <v>454</v>
      </c>
      <c r="B95" s="323"/>
      <c r="C95" s="324"/>
      <c r="D95" s="320">
        <f>1448461+1448462</f>
        <v>2896923</v>
      </c>
      <c r="E95" s="320">
        <v>1448462</v>
      </c>
    </row>
    <row r="96" spans="1:5" ht="23.25">
      <c r="A96" s="343" t="s">
        <v>455</v>
      </c>
      <c r="B96" s="323"/>
      <c r="C96" s="324"/>
      <c r="D96" s="325">
        <f>13266+282492</f>
        <v>295758</v>
      </c>
      <c r="E96" s="325">
        <v>282492</v>
      </c>
    </row>
    <row r="97" spans="1:5" ht="23.25">
      <c r="A97" s="343" t="s">
        <v>456</v>
      </c>
      <c r="B97" s="323"/>
      <c r="C97" s="324"/>
      <c r="D97" s="325">
        <f>30000+592000</f>
        <v>622000</v>
      </c>
      <c r="E97" s="325">
        <v>592000</v>
      </c>
    </row>
    <row r="98" spans="1:5" ht="23.25">
      <c r="A98" s="343" t="s">
        <v>457</v>
      </c>
      <c r="B98" s="323"/>
      <c r="C98" s="324"/>
      <c r="D98" s="325">
        <f>9000+9000</f>
        <v>18000</v>
      </c>
      <c r="E98" s="325">
        <v>9000</v>
      </c>
    </row>
    <row r="99" spans="1:5" ht="23.25">
      <c r="A99" s="343" t="s">
        <v>501</v>
      </c>
      <c r="B99" s="323"/>
      <c r="C99" s="324"/>
      <c r="D99" s="329">
        <v>75000</v>
      </c>
      <c r="E99" s="329">
        <v>0</v>
      </c>
    </row>
    <row r="100" spans="1:5" ht="23.25">
      <c r="A100" s="343" t="s">
        <v>571</v>
      </c>
      <c r="B100" s="323"/>
      <c r="C100" s="324"/>
      <c r="D100" s="334">
        <v>2000</v>
      </c>
      <c r="E100" s="334">
        <v>0</v>
      </c>
    </row>
    <row r="101" spans="1:5" ht="24" thickBot="1">
      <c r="A101" s="344" t="s">
        <v>458</v>
      </c>
      <c r="B101" s="323"/>
      <c r="C101" s="324"/>
      <c r="D101" s="342">
        <f>SUM(D95:D100)</f>
        <v>3909681</v>
      </c>
      <c r="E101" s="342">
        <f>SUM(E95:E100)</f>
        <v>2331954</v>
      </c>
    </row>
    <row r="102" spans="1:5" ht="24" thickTop="1">
      <c r="A102" s="322" t="s">
        <v>459</v>
      </c>
      <c r="B102" s="323" t="s">
        <v>25</v>
      </c>
      <c r="C102" s="324"/>
      <c r="D102" s="320"/>
      <c r="E102" s="319">
        <v>0</v>
      </c>
    </row>
    <row r="103" spans="1:5" ht="23.25">
      <c r="A103" s="322" t="s">
        <v>460</v>
      </c>
      <c r="B103" s="323"/>
      <c r="C103" s="324"/>
      <c r="D103" s="325"/>
      <c r="E103" s="324"/>
    </row>
    <row r="104" spans="1:5" ht="23.25">
      <c r="A104" s="326" t="s">
        <v>461</v>
      </c>
      <c r="B104" s="323"/>
      <c r="C104" s="328"/>
      <c r="D104" s="328">
        <v>21000</v>
      </c>
      <c r="E104" s="328">
        <v>0</v>
      </c>
    </row>
    <row r="105" spans="1:5" ht="23.25">
      <c r="A105" s="326" t="s">
        <v>462</v>
      </c>
      <c r="B105" s="323" t="s">
        <v>25</v>
      </c>
      <c r="C105" s="328"/>
      <c r="D105" s="328">
        <f>31500+21000</f>
        <v>52500</v>
      </c>
      <c r="E105" s="328">
        <v>21000</v>
      </c>
    </row>
    <row r="106" spans="1:5" ht="23.25">
      <c r="A106" s="322" t="s">
        <v>463</v>
      </c>
      <c r="B106" s="327" t="s">
        <v>25</v>
      </c>
      <c r="C106" s="328"/>
      <c r="D106" s="340">
        <v>2409500</v>
      </c>
      <c r="E106" s="340">
        <v>0</v>
      </c>
    </row>
    <row r="107" spans="1:5" ht="23.25">
      <c r="A107" s="322" t="s">
        <v>464</v>
      </c>
      <c r="B107" s="327" t="s">
        <v>25</v>
      </c>
      <c r="C107" s="328"/>
      <c r="D107" s="340">
        <v>456000</v>
      </c>
      <c r="E107" s="340">
        <v>0</v>
      </c>
    </row>
    <row r="108" spans="1:5" ht="23.25">
      <c r="A108" s="322" t="s">
        <v>465</v>
      </c>
      <c r="B108" s="327"/>
      <c r="C108" s="328"/>
      <c r="D108" s="329"/>
      <c r="E108" s="340">
        <v>0</v>
      </c>
    </row>
    <row r="109" spans="1:5" ht="23.25">
      <c r="A109" s="322" t="s">
        <v>466</v>
      </c>
      <c r="B109" s="327"/>
      <c r="C109" s="328"/>
      <c r="D109" s="329"/>
      <c r="E109" s="340">
        <v>0</v>
      </c>
    </row>
    <row r="110" spans="1:5" ht="23.25">
      <c r="A110" s="313" t="s">
        <v>467</v>
      </c>
      <c r="B110" s="314"/>
      <c r="C110" s="331">
        <f>SUM(C94)</f>
        <v>6400000</v>
      </c>
      <c r="D110" s="331">
        <f>SUM(D104:D109)</f>
        <v>2939000</v>
      </c>
      <c r="E110" s="331">
        <f>SUM(E104:E109)</f>
        <v>21000</v>
      </c>
    </row>
    <row r="111" spans="1:5" ht="23.25">
      <c r="A111" s="313" t="s">
        <v>468</v>
      </c>
      <c r="B111" s="314"/>
      <c r="C111" s="331">
        <f>SUM(C14+C53+C60+C65+C74+C77+C92+C110)</f>
        <v>21000000</v>
      </c>
      <c r="D111" s="331">
        <f>SUM(D110+D101+D92+D74+D60+D53+D14)</f>
        <v>11817352.089999998</v>
      </c>
      <c r="E111" s="331">
        <f>SUM(E110+E101+E92+E74+E53+E14)</f>
        <v>3597623.26</v>
      </c>
    </row>
    <row r="112" spans="1:5" ht="23.25">
      <c r="A112" s="345" t="s">
        <v>469</v>
      </c>
      <c r="B112" s="332"/>
      <c r="C112" s="333"/>
      <c r="D112" s="334"/>
      <c r="E112" s="333"/>
    </row>
    <row r="113" spans="1:5" ht="23.25">
      <c r="A113" s="313" t="s">
        <v>224</v>
      </c>
      <c r="B113" s="314"/>
      <c r="C113" s="331">
        <f>SUM(C112:C112)</f>
        <v>0</v>
      </c>
      <c r="D113" s="331">
        <f>SUM(D112:D112)</f>
        <v>0</v>
      </c>
      <c r="E113" s="331">
        <f>SUM(E112:E112)</f>
        <v>0</v>
      </c>
    </row>
    <row r="114" spans="1:5" ht="23.25">
      <c r="A114" s="346" t="s">
        <v>109</v>
      </c>
      <c r="B114" s="347"/>
      <c r="C114" s="331">
        <f>SUM(C14,C53,C60,C65,C74,C77,C92,C113,C110)</f>
        <v>21000000</v>
      </c>
      <c r="D114" s="331">
        <f>SUM(D111)</f>
        <v>11817352.089999998</v>
      </c>
      <c r="E114" s="331">
        <f>SUM(E110+E101+E92+E74+E53+E14)</f>
        <v>3597623.26</v>
      </c>
    </row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1" ht="23.25">
      <c r="D131" s="312" t="s">
        <v>470</v>
      </c>
    </row>
    <row r="135" ht="21" customHeight="1"/>
    <row r="136" ht="18" customHeight="1"/>
    <row r="137" ht="22.5" customHeight="1"/>
    <row r="138" ht="22.5" customHeight="1"/>
    <row r="144" ht="26.25" customHeight="1"/>
  </sheetData>
  <sheetProtection/>
  <mergeCells count="3">
    <mergeCell ref="A2:E2"/>
    <mergeCell ref="A3:E3"/>
    <mergeCell ref="A4:E4"/>
  </mergeCells>
  <printOptions/>
  <pageMargins left="0.4330708661417323" right="0.15748031496062992" top="0.15748031496062992" bottom="0.2755905511811024" header="0.15748031496062992" footer="0.275590551181102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SheetLayoutView="100" zoomScalePageLayoutView="0" workbookViewId="0" topLeftCell="A25">
      <selection activeCell="C8" sqref="C8"/>
    </sheetView>
  </sheetViews>
  <sheetFormatPr defaultColWidth="9.140625" defaultRowHeight="21.75"/>
  <cols>
    <col min="1" max="1" width="41.57421875" style="1" customWidth="1"/>
    <col min="2" max="2" width="16.8515625" style="371" customWidth="1"/>
    <col min="3" max="3" width="15.7109375" style="371" customWidth="1"/>
    <col min="4" max="4" width="18.421875" style="371" customWidth="1"/>
    <col min="5" max="5" width="15.8515625" style="371" customWidth="1"/>
    <col min="6" max="6" width="13.8515625" style="1" customWidth="1"/>
    <col min="7" max="16384" width="9.140625" style="1" customWidth="1"/>
  </cols>
  <sheetData>
    <row r="1" spans="5:6" ht="23.25">
      <c r="E1" s="381" t="s">
        <v>208</v>
      </c>
      <c r="F1" s="6"/>
    </row>
    <row r="2" spans="1:6" ht="23.25">
      <c r="A2" s="404" t="s">
        <v>503</v>
      </c>
      <c r="B2" s="404"/>
      <c r="C2" s="404"/>
      <c r="D2" s="404"/>
      <c r="E2" s="404"/>
      <c r="F2" s="404"/>
    </row>
    <row r="3" spans="1:6" ht="23.25">
      <c r="A3" s="404" t="s">
        <v>502</v>
      </c>
      <c r="B3" s="404"/>
      <c r="C3" s="404"/>
      <c r="D3" s="404"/>
      <c r="E3" s="404"/>
      <c r="F3" s="404"/>
    </row>
    <row r="4" spans="1:6" ht="23.25">
      <c r="A4" s="417" t="s">
        <v>579</v>
      </c>
      <c r="B4" s="417"/>
      <c r="C4" s="417"/>
      <c r="D4" s="417"/>
      <c r="E4" s="417"/>
      <c r="F4" s="417"/>
    </row>
    <row r="5" spans="1:6" s="15" customFormat="1" ht="29.25" customHeight="1">
      <c r="A5" s="32" t="s">
        <v>5</v>
      </c>
      <c r="B5" s="372" t="s">
        <v>9</v>
      </c>
      <c r="C5" s="372" t="s">
        <v>66</v>
      </c>
      <c r="D5" s="372" t="s">
        <v>67</v>
      </c>
      <c r="E5" s="372" t="s">
        <v>562</v>
      </c>
      <c r="F5" s="33"/>
    </row>
    <row r="6" spans="1:5" s="3" customFormat="1" ht="23.25">
      <c r="A6" s="90" t="s">
        <v>479</v>
      </c>
      <c r="B6" s="373">
        <v>46.73</v>
      </c>
      <c r="C6" s="260">
        <v>1682.31</v>
      </c>
      <c r="D6" s="260">
        <v>11871.14</v>
      </c>
      <c r="E6" s="259">
        <v>1682.31</v>
      </c>
    </row>
    <row r="7" spans="1:5" s="3" customFormat="1" ht="23.25">
      <c r="A7" s="10" t="s">
        <v>478</v>
      </c>
      <c r="B7" s="259">
        <v>176735</v>
      </c>
      <c r="C7" s="260">
        <v>0</v>
      </c>
      <c r="D7" s="260">
        <v>0</v>
      </c>
      <c r="E7" s="259">
        <v>167640</v>
      </c>
    </row>
    <row r="8" spans="1:5" s="3" customFormat="1" ht="23.25">
      <c r="A8" s="10" t="s">
        <v>477</v>
      </c>
      <c r="B8" s="259">
        <v>13149.96</v>
      </c>
      <c r="C8" s="260">
        <v>2009.87</v>
      </c>
      <c r="D8" s="260">
        <v>0</v>
      </c>
      <c r="E8" s="259">
        <f>SUM(B8+C8-D8)</f>
        <v>15159.829999999998</v>
      </c>
    </row>
    <row r="9" spans="1:5" s="3" customFormat="1" ht="23.25">
      <c r="A9" s="10" t="s">
        <v>476</v>
      </c>
      <c r="B9" s="259">
        <v>7419.74</v>
      </c>
      <c r="C9" s="260">
        <v>2411.85</v>
      </c>
      <c r="D9" s="260">
        <v>0</v>
      </c>
      <c r="E9" s="259">
        <v>2411.85</v>
      </c>
    </row>
    <row r="10" spans="1:5" s="3" customFormat="1" ht="23.25">
      <c r="A10" s="10" t="s">
        <v>475</v>
      </c>
      <c r="B10" s="259">
        <v>1042146.51</v>
      </c>
      <c r="C10" s="260">
        <v>0</v>
      </c>
      <c r="D10" s="260">
        <v>0</v>
      </c>
      <c r="E10" s="259">
        <f>SUM(B10+C10-D10)</f>
        <v>1042146.51</v>
      </c>
    </row>
    <row r="11" spans="1:5" s="3" customFormat="1" ht="23.25">
      <c r="A11" s="10" t="s">
        <v>474</v>
      </c>
      <c r="B11" s="259">
        <v>100700</v>
      </c>
      <c r="C11" s="260">
        <v>0</v>
      </c>
      <c r="D11" s="260">
        <v>0</v>
      </c>
      <c r="E11" s="259"/>
    </row>
    <row r="12" spans="1:5" s="3" customFormat="1" ht="23.25">
      <c r="A12" s="10" t="s">
        <v>473</v>
      </c>
      <c r="B12" s="259">
        <v>12800</v>
      </c>
      <c r="C12" s="260">
        <v>0</v>
      </c>
      <c r="D12" s="260">
        <v>0</v>
      </c>
      <c r="E12" s="259"/>
    </row>
    <row r="13" spans="1:5" s="3" customFormat="1" ht="23.25">
      <c r="A13" s="10" t="s">
        <v>472</v>
      </c>
      <c r="B13" s="259">
        <v>10000</v>
      </c>
      <c r="C13" s="260">
        <v>0</v>
      </c>
      <c r="D13" s="260">
        <v>0</v>
      </c>
      <c r="E13" s="259"/>
    </row>
    <row r="14" spans="1:5" s="3" customFormat="1" ht="23.25">
      <c r="A14" s="10" t="s">
        <v>471</v>
      </c>
      <c r="B14" s="259">
        <v>14000</v>
      </c>
      <c r="C14" s="260">
        <v>0</v>
      </c>
      <c r="D14" s="260">
        <v>0</v>
      </c>
      <c r="E14" s="259"/>
    </row>
    <row r="15" spans="1:5" s="3" customFormat="1" ht="23.25">
      <c r="A15" s="10" t="s">
        <v>480</v>
      </c>
      <c r="B15" s="259">
        <v>34483</v>
      </c>
      <c r="C15" s="260">
        <v>0</v>
      </c>
      <c r="D15" s="260">
        <v>0</v>
      </c>
      <c r="E15" s="259">
        <f>SUM(B15+C15-D15)</f>
        <v>34483</v>
      </c>
    </row>
    <row r="16" spans="1:5" s="3" customFormat="1" ht="23.25">
      <c r="A16" s="10" t="s">
        <v>481</v>
      </c>
      <c r="B16" s="259">
        <v>50</v>
      </c>
      <c r="C16" s="260">
        <v>0</v>
      </c>
      <c r="D16" s="260">
        <v>0</v>
      </c>
      <c r="E16" s="259">
        <f>SUM(B16+C16-D16)</f>
        <v>50</v>
      </c>
    </row>
    <row r="17" spans="1:5" s="3" customFormat="1" ht="23.25">
      <c r="A17" s="10" t="s">
        <v>482</v>
      </c>
      <c r="B17" s="259">
        <v>0</v>
      </c>
      <c r="C17" s="260">
        <v>0</v>
      </c>
      <c r="D17" s="260">
        <v>0</v>
      </c>
      <c r="E17" s="259">
        <v>127596</v>
      </c>
    </row>
    <row r="18" spans="1:5" s="3" customFormat="1" ht="23.25">
      <c r="A18" s="10" t="s">
        <v>564</v>
      </c>
      <c r="B18" s="259"/>
      <c r="C18" s="260">
        <v>4977</v>
      </c>
      <c r="D18" s="260">
        <v>4977</v>
      </c>
      <c r="E18" s="259">
        <v>4977</v>
      </c>
    </row>
    <row r="19" spans="1:5" s="3" customFormat="1" ht="24" thickBot="1">
      <c r="A19" s="17" t="s">
        <v>70</v>
      </c>
      <c r="B19" s="384">
        <f>SUM(B6:B18)</f>
        <v>1411530.94</v>
      </c>
      <c r="C19" s="384">
        <f>SUM(C6:C18)</f>
        <v>11081.029999999999</v>
      </c>
      <c r="D19" s="385">
        <f>SUM(D6:D18)</f>
        <v>16848.14</v>
      </c>
      <c r="E19" s="384">
        <f>SUM(E6:E18)</f>
        <v>1396146.5</v>
      </c>
    </row>
    <row r="20" spans="1:6" ht="5.25" customHeight="1" thickTop="1">
      <c r="A20" s="11"/>
      <c r="B20" s="308"/>
      <c r="C20" s="35"/>
      <c r="D20" s="35"/>
      <c r="E20" s="242"/>
      <c r="F20" s="2"/>
    </row>
    <row r="21" spans="1:6" ht="22.5" customHeight="1">
      <c r="A21" s="404" t="s">
        <v>503</v>
      </c>
      <c r="B21" s="404"/>
      <c r="C21" s="404"/>
      <c r="D21" s="404"/>
      <c r="E21" s="404"/>
      <c r="F21" s="404"/>
    </row>
    <row r="22" spans="1:6" ht="22.5" customHeight="1">
      <c r="A22" s="404" t="s">
        <v>502</v>
      </c>
      <c r="B22" s="404"/>
      <c r="C22" s="404"/>
      <c r="D22" s="404"/>
      <c r="E22" s="404"/>
      <c r="F22" s="404"/>
    </row>
    <row r="23" spans="1:6" ht="22.5" customHeight="1">
      <c r="A23" s="417" t="s">
        <v>580</v>
      </c>
      <c r="B23" s="417"/>
      <c r="C23" s="417"/>
      <c r="D23" s="417"/>
      <c r="E23" s="417"/>
      <c r="F23" s="417"/>
    </row>
    <row r="24" spans="1:6" s="15" customFormat="1" ht="30" customHeight="1">
      <c r="A24" s="32" t="s">
        <v>5</v>
      </c>
      <c r="B24" s="372" t="s">
        <v>9</v>
      </c>
      <c r="C24" s="372" t="s">
        <v>66</v>
      </c>
      <c r="D24" s="372" t="s">
        <v>67</v>
      </c>
      <c r="E24" s="372" t="s">
        <v>562</v>
      </c>
      <c r="F24" s="33"/>
    </row>
    <row r="25" spans="1:6" s="3" customFormat="1" ht="23.25">
      <c r="A25" s="370" t="s">
        <v>479</v>
      </c>
      <c r="B25" s="373">
        <v>46.73</v>
      </c>
      <c r="C25" s="260">
        <f>27680.14+1682.31</f>
        <v>29362.45</v>
      </c>
      <c r="D25" s="260">
        <f>15855.73+11871.14</f>
        <v>27726.87</v>
      </c>
      <c r="E25" s="259">
        <v>1682.31</v>
      </c>
      <c r="F25" s="82"/>
    </row>
    <row r="26" spans="1:6" s="3" customFormat="1" ht="23.25">
      <c r="A26" s="10" t="s">
        <v>478</v>
      </c>
      <c r="B26" s="259">
        <v>207535</v>
      </c>
      <c r="C26" s="260">
        <v>0</v>
      </c>
      <c r="D26" s="260">
        <v>39895</v>
      </c>
      <c r="E26" s="259">
        <f aca="true" t="shared" si="0" ref="E26:E39">SUM(B26+C26-D26)</f>
        <v>167640</v>
      </c>
      <c r="F26" s="82"/>
    </row>
    <row r="27" spans="1:6" s="3" customFormat="1" ht="23.25">
      <c r="A27" s="10" t="s">
        <v>477</v>
      </c>
      <c r="B27" s="259">
        <v>13149.98</v>
      </c>
      <c r="C27" s="260">
        <v>2009.87</v>
      </c>
      <c r="D27" s="260">
        <v>0.02</v>
      </c>
      <c r="E27" s="259">
        <f t="shared" si="0"/>
        <v>15159.829999999998</v>
      </c>
      <c r="F27" s="82"/>
    </row>
    <row r="28" spans="1:6" s="3" customFormat="1" ht="23.25">
      <c r="A28" s="10" t="s">
        <v>476</v>
      </c>
      <c r="B28" s="259">
        <v>7419.74</v>
      </c>
      <c r="C28" s="260">
        <f>0.02+2411.85</f>
        <v>2411.87</v>
      </c>
      <c r="D28" s="260">
        <v>7419.76</v>
      </c>
      <c r="E28" s="259">
        <f t="shared" si="0"/>
        <v>2411.8500000000004</v>
      </c>
      <c r="F28" s="82"/>
    </row>
    <row r="29" spans="1:6" s="3" customFormat="1" ht="23.25">
      <c r="A29" s="10" t="s">
        <v>475</v>
      </c>
      <c r="B29" s="259">
        <v>1042146.51</v>
      </c>
      <c r="C29" s="260">
        <v>0</v>
      </c>
      <c r="D29" s="260">
        <v>0</v>
      </c>
      <c r="E29" s="259">
        <f t="shared" si="0"/>
        <v>1042146.51</v>
      </c>
      <c r="F29" s="82"/>
    </row>
    <row r="30" spans="1:6" s="3" customFormat="1" ht="23.25">
      <c r="A30" s="10" t="s">
        <v>474</v>
      </c>
      <c r="B30" s="259">
        <v>100700</v>
      </c>
      <c r="C30" s="260">
        <v>0</v>
      </c>
      <c r="D30" s="260">
        <v>100700</v>
      </c>
      <c r="E30" s="259">
        <f t="shared" si="0"/>
        <v>0</v>
      </c>
      <c r="F30" s="82"/>
    </row>
    <row r="31" spans="1:6" s="3" customFormat="1" ht="23.25">
      <c r="A31" s="10" t="s">
        <v>473</v>
      </c>
      <c r="B31" s="259">
        <v>12800</v>
      </c>
      <c r="C31" s="260">
        <v>0</v>
      </c>
      <c r="D31" s="260">
        <v>12800</v>
      </c>
      <c r="E31" s="259">
        <f t="shared" si="0"/>
        <v>0</v>
      </c>
      <c r="F31" s="82"/>
    </row>
    <row r="32" spans="1:6" s="3" customFormat="1" ht="23.25">
      <c r="A32" s="10" t="s">
        <v>472</v>
      </c>
      <c r="B32" s="259">
        <v>10000</v>
      </c>
      <c r="C32" s="260">
        <v>0</v>
      </c>
      <c r="D32" s="260">
        <v>10000</v>
      </c>
      <c r="E32" s="259">
        <f t="shared" si="0"/>
        <v>0</v>
      </c>
      <c r="F32" s="82"/>
    </row>
    <row r="33" spans="1:6" s="3" customFormat="1" ht="23.25">
      <c r="A33" s="10" t="s">
        <v>471</v>
      </c>
      <c r="B33" s="259">
        <v>14000</v>
      </c>
      <c r="C33" s="260">
        <v>0</v>
      </c>
      <c r="D33" s="260">
        <v>14000</v>
      </c>
      <c r="E33" s="259">
        <f t="shared" si="0"/>
        <v>0</v>
      </c>
      <c r="F33" s="82"/>
    </row>
    <row r="34" spans="1:6" s="3" customFormat="1" ht="23.25">
      <c r="A34" s="10" t="s">
        <v>480</v>
      </c>
      <c r="B34" s="259">
        <v>34483</v>
      </c>
      <c r="C34" s="260">
        <v>0</v>
      </c>
      <c r="D34" s="260">
        <v>0</v>
      </c>
      <c r="E34" s="259">
        <f t="shared" si="0"/>
        <v>34483</v>
      </c>
      <c r="F34" s="82"/>
    </row>
    <row r="35" spans="1:5" s="3" customFormat="1" ht="23.25">
      <c r="A35" s="10" t="s">
        <v>481</v>
      </c>
      <c r="B35" s="259">
        <v>50</v>
      </c>
      <c r="C35" s="260">
        <v>0</v>
      </c>
      <c r="D35" s="260">
        <v>0</v>
      </c>
      <c r="E35" s="259">
        <f t="shared" si="0"/>
        <v>50</v>
      </c>
    </row>
    <row r="36" spans="1:5" s="3" customFormat="1" ht="23.25">
      <c r="A36" s="10" t="s">
        <v>482</v>
      </c>
      <c r="B36" s="259">
        <v>0</v>
      </c>
      <c r="C36" s="260">
        <v>127596</v>
      </c>
      <c r="D36" s="260">
        <v>0</v>
      </c>
      <c r="E36" s="259">
        <f t="shared" si="0"/>
        <v>127596</v>
      </c>
    </row>
    <row r="37" spans="1:5" s="3" customFormat="1" ht="23.25" hidden="1">
      <c r="A37" s="10" t="s">
        <v>482</v>
      </c>
      <c r="B37" s="259"/>
      <c r="C37" s="260">
        <v>4477</v>
      </c>
      <c r="D37" s="260"/>
      <c r="E37" s="259">
        <f t="shared" si="0"/>
        <v>4477</v>
      </c>
    </row>
    <row r="38" spans="1:5" s="3" customFormat="1" ht="23.25" hidden="1">
      <c r="A38" s="10" t="s">
        <v>482</v>
      </c>
      <c r="B38" s="259"/>
      <c r="C38" s="260">
        <v>153</v>
      </c>
      <c r="D38" s="260">
        <v>153</v>
      </c>
      <c r="E38" s="259">
        <f t="shared" si="0"/>
        <v>0</v>
      </c>
    </row>
    <row r="39" spans="1:5" s="3" customFormat="1" ht="23.25">
      <c r="A39" s="10" t="s">
        <v>564</v>
      </c>
      <c r="B39" s="259">
        <v>0</v>
      </c>
      <c r="C39" s="260">
        <f>11729+4977</f>
        <v>16706</v>
      </c>
      <c r="D39" s="260">
        <f>11229+4977</f>
        <v>16206</v>
      </c>
      <c r="E39" s="259">
        <f t="shared" si="0"/>
        <v>500</v>
      </c>
    </row>
    <row r="40" spans="1:5" s="3" customFormat="1" ht="29.25" customHeight="1" thickBot="1">
      <c r="A40" s="17" t="s">
        <v>70</v>
      </c>
      <c r="B40" s="384">
        <f>SUM(B25:B39)</f>
        <v>1442330.96</v>
      </c>
      <c r="C40" s="384">
        <v>182716.19</v>
      </c>
      <c r="D40" s="385">
        <v>228900.65</v>
      </c>
      <c r="E40" s="384">
        <f>SUM(B40+C40-D40)</f>
        <v>1396146.5</v>
      </c>
    </row>
    <row r="41" spans="5:6" ht="28.5" customHeight="1" thickTop="1">
      <c r="E41" s="382" t="s">
        <v>209</v>
      </c>
      <c r="F41" s="265"/>
    </row>
    <row r="42" spans="1:6" s="3" customFormat="1" ht="23.25">
      <c r="A42" s="404" t="s">
        <v>503</v>
      </c>
      <c r="B42" s="404"/>
      <c r="C42" s="404"/>
      <c r="D42" s="404"/>
      <c r="E42" s="404"/>
      <c r="F42" s="404"/>
    </row>
    <row r="43" spans="1:6" s="3" customFormat="1" ht="23.25">
      <c r="A43" s="404" t="s">
        <v>502</v>
      </c>
      <c r="B43" s="404"/>
      <c r="C43" s="404"/>
      <c r="D43" s="404"/>
      <c r="E43" s="404"/>
      <c r="F43" s="404"/>
    </row>
    <row r="44" spans="1:6" s="3" customFormat="1" ht="23.25">
      <c r="A44" s="417" t="s">
        <v>577</v>
      </c>
      <c r="B44" s="417"/>
      <c r="C44" s="417"/>
      <c r="D44" s="417"/>
      <c r="E44" s="417"/>
      <c r="F44" s="417"/>
    </row>
    <row r="45" spans="1:6" s="15" customFormat="1" ht="30" customHeight="1">
      <c r="A45" s="32" t="s">
        <v>5</v>
      </c>
      <c r="B45" s="372" t="s">
        <v>9</v>
      </c>
      <c r="C45" s="372" t="s">
        <v>66</v>
      </c>
      <c r="D45" s="372" t="s">
        <v>67</v>
      </c>
      <c r="E45" s="372" t="s">
        <v>562</v>
      </c>
      <c r="F45" s="33"/>
    </row>
    <row r="46" spans="1:6" s="3" customFormat="1" ht="23.25">
      <c r="A46" s="90" t="s">
        <v>29</v>
      </c>
      <c r="B46" s="374">
        <v>300</v>
      </c>
      <c r="C46" s="377">
        <v>0</v>
      </c>
      <c r="D46" s="377">
        <v>0</v>
      </c>
      <c r="E46" s="383">
        <f aca="true" t="shared" si="1" ref="E46:E51">SUM(B46+C46-D46)</f>
        <v>300</v>
      </c>
      <c r="F46" s="82"/>
    </row>
    <row r="47" spans="1:5" s="3" customFormat="1" ht="23.25">
      <c r="A47" s="10" t="s">
        <v>32</v>
      </c>
      <c r="B47" s="259">
        <v>4223</v>
      </c>
      <c r="C47" s="259">
        <v>0</v>
      </c>
      <c r="D47" s="259">
        <v>0</v>
      </c>
      <c r="E47" s="259">
        <f t="shared" si="1"/>
        <v>4223</v>
      </c>
    </row>
    <row r="48" spans="1:5" s="3" customFormat="1" ht="23.25">
      <c r="A48" s="10" t="s">
        <v>33</v>
      </c>
      <c r="B48" s="259">
        <v>0</v>
      </c>
      <c r="C48" s="259">
        <v>0</v>
      </c>
      <c r="D48" s="259">
        <v>0</v>
      </c>
      <c r="E48" s="259">
        <f t="shared" si="1"/>
        <v>0</v>
      </c>
    </row>
    <row r="49" spans="1:5" s="3" customFormat="1" ht="23.25">
      <c r="A49" s="10" t="s">
        <v>34</v>
      </c>
      <c r="B49" s="259">
        <v>170230.2</v>
      </c>
      <c r="C49" s="259">
        <v>0</v>
      </c>
      <c r="D49" s="259">
        <v>170230.2</v>
      </c>
      <c r="E49" s="259">
        <f t="shared" si="1"/>
        <v>0</v>
      </c>
    </row>
    <row r="50" spans="1:5" s="3" customFormat="1" ht="23.25">
      <c r="A50" s="10" t="s">
        <v>40</v>
      </c>
      <c r="B50" s="375">
        <v>349600</v>
      </c>
      <c r="C50" s="259">
        <v>0</v>
      </c>
      <c r="D50" s="259">
        <v>0</v>
      </c>
      <c r="E50" s="259">
        <f t="shared" si="1"/>
        <v>349600</v>
      </c>
    </row>
    <row r="51" spans="1:5" s="380" customFormat="1" ht="23.25">
      <c r="A51" s="378" t="s">
        <v>504</v>
      </c>
      <c r="B51" s="379">
        <f>SUM(B46:B50)</f>
        <v>524353.2</v>
      </c>
      <c r="C51" s="379">
        <f>SUM(C46:C50)</f>
        <v>0</v>
      </c>
      <c r="D51" s="379">
        <f>SUM(D46:D50)</f>
        <v>170230.2</v>
      </c>
      <c r="E51" s="379">
        <f t="shared" si="1"/>
        <v>354122.99999999994</v>
      </c>
    </row>
    <row r="52" spans="1:5" s="3" customFormat="1" ht="23.25">
      <c r="A52" s="5"/>
      <c r="B52" s="37"/>
      <c r="C52" s="37"/>
      <c r="D52" s="37"/>
      <c r="E52" s="37"/>
    </row>
    <row r="53" spans="1:6" s="3" customFormat="1" ht="23.25">
      <c r="A53" s="404" t="s">
        <v>503</v>
      </c>
      <c r="B53" s="404"/>
      <c r="C53" s="404"/>
      <c r="D53" s="404"/>
      <c r="E53" s="404"/>
      <c r="F53" s="404"/>
    </row>
    <row r="54" spans="1:6" s="3" customFormat="1" ht="23.25">
      <c r="A54" s="404" t="s">
        <v>502</v>
      </c>
      <c r="B54" s="404"/>
      <c r="C54" s="404"/>
      <c r="D54" s="404"/>
      <c r="E54" s="404"/>
      <c r="F54" s="404"/>
    </row>
    <row r="55" spans="1:6" s="3" customFormat="1" ht="23.25">
      <c r="A55" s="417" t="s">
        <v>578</v>
      </c>
      <c r="B55" s="417"/>
      <c r="C55" s="417"/>
      <c r="D55" s="417"/>
      <c r="E55" s="417"/>
      <c r="F55" s="417"/>
    </row>
    <row r="56" spans="1:6" s="15" customFormat="1" ht="30" customHeight="1">
      <c r="A56" s="32" t="s">
        <v>5</v>
      </c>
      <c r="B56" s="372" t="s">
        <v>9</v>
      </c>
      <c r="C56" s="372" t="s">
        <v>66</v>
      </c>
      <c r="D56" s="372" t="s">
        <v>67</v>
      </c>
      <c r="E56" s="372" t="s">
        <v>562</v>
      </c>
      <c r="F56" s="33"/>
    </row>
    <row r="57" spans="1:6" s="3" customFormat="1" ht="23.25">
      <c r="A57" s="90" t="s">
        <v>29</v>
      </c>
      <c r="B57" s="374">
        <v>25800</v>
      </c>
      <c r="C57" s="377">
        <v>0</v>
      </c>
      <c r="D57" s="377">
        <v>25500</v>
      </c>
      <c r="E57" s="259">
        <f aca="true" t="shared" si="2" ref="E57:E62">SUM(B57+C57-D57)</f>
        <v>300</v>
      </c>
      <c r="F57" s="82"/>
    </row>
    <row r="58" spans="1:5" s="3" customFormat="1" ht="23.25">
      <c r="A58" s="10" t="s">
        <v>32</v>
      </c>
      <c r="B58" s="259">
        <v>164730</v>
      </c>
      <c r="C58" s="259">
        <v>0</v>
      </c>
      <c r="D58" s="259">
        <v>160507</v>
      </c>
      <c r="E58" s="259">
        <f t="shared" si="2"/>
        <v>4223</v>
      </c>
    </row>
    <row r="59" spans="1:5" s="3" customFormat="1" ht="23.25">
      <c r="A59" s="10" t="s">
        <v>33</v>
      </c>
      <c r="B59" s="259">
        <v>6000</v>
      </c>
      <c r="C59" s="259">
        <v>0</v>
      </c>
      <c r="D59" s="259">
        <v>6000</v>
      </c>
      <c r="E59" s="259">
        <f t="shared" si="2"/>
        <v>0</v>
      </c>
    </row>
    <row r="60" spans="1:5" s="3" customFormat="1" ht="23.25">
      <c r="A60" s="10" t="s">
        <v>34</v>
      </c>
      <c r="B60" s="259">
        <v>188210.2</v>
      </c>
      <c r="C60" s="259">
        <v>0</v>
      </c>
      <c r="D60" s="259">
        <f>17980+170230.2</f>
        <v>188210.2</v>
      </c>
      <c r="E60" s="259">
        <f t="shared" si="2"/>
        <v>0</v>
      </c>
    </row>
    <row r="61" spans="1:5" s="3" customFormat="1" ht="23.25">
      <c r="A61" s="10" t="s">
        <v>40</v>
      </c>
      <c r="B61" s="375">
        <v>1163600</v>
      </c>
      <c r="C61" s="259">
        <v>0</v>
      </c>
      <c r="D61" s="259">
        <f>100000+714000</f>
        <v>814000</v>
      </c>
      <c r="E61" s="259">
        <f t="shared" si="2"/>
        <v>349600</v>
      </c>
    </row>
    <row r="62" spans="1:5" s="380" customFormat="1" ht="38.25" customHeight="1" thickBot="1">
      <c r="A62" s="378" t="s">
        <v>505</v>
      </c>
      <c r="B62" s="379">
        <f>SUM(B57:B61)</f>
        <v>1548340.2</v>
      </c>
      <c r="C62" s="379">
        <f>SUM(C57:C61)</f>
        <v>0</v>
      </c>
      <c r="D62" s="379">
        <f>SUM(D57:D61)</f>
        <v>1194217.2</v>
      </c>
      <c r="E62" s="384">
        <f t="shared" si="2"/>
        <v>354123</v>
      </c>
    </row>
    <row r="63" spans="1:6" s="3" customFormat="1" ht="24" thickTop="1">
      <c r="A63" s="5"/>
      <c r="B63" s="37"/>
      <c r="C63" s="37"/>
      <c r="D63" s="37"/>
      <c r="E63" s="86"/>
      <c r="F63" s="13"/>
    </row>
    <row r="64" spans="1:7" s="3" customFormat="1" ht="23.25">
      <c r="A64" s="11"/>
      <c r="B64" s="308"/>
      <c r="C64" s="37"/>
      <c r="D64" s="35"/>
      <c r="E64" s="86"/>
      <c r="F64" s="38"/>
      <c r="G64" s="38"/>
    </row>
    <row r="65" spans="1:7" s="3" customFormat="1" ht="23.25">
      <c r="A65" s="11"/>
      <c r="B65" s="308"/>
      <c r="C65" s="37"/>
      <c r="D65" s="35"/>
      <c r="E65" s="86"/>
      <c r="F65" s="38"/>
      <c r="G65" s="38"/>
    </row>
    <row r="66" spans="1:7" ht="21">
      <c r="A66" s="20"/>
      <c r="B66" s="376"/>
      <c r="C66" s="242"/>
      <c r="D66" s="81"/>
      <c r="F66" s="19"/>
      <c r="G66" s="19"/>
    </row>
  </sheetData>
  <sheetProtection/>
  <mergeCells count="12">
    <mergeCell ref="A53:F53"/>
    <mergeCell ref="A54:F54"/>
    <mergeCell ref="A55:F55"/>
    <mergeCell ref="A44:F44"/>
    <mergeCell ref="A42:F42"/>
    <mergeCell ref="A43:F43"/>
    <mergeCell ref="A2:F2"/>
    <mergeCell ref="A3:F3"/>
    <mergeCell ref="A4:F4"/>
    <mergeCell ref="A21:F21"/>
    <mergeCell ref="A22:F22"/>
    <mergeCell ref="A23:F23"/>
  </mergeCells>
  <printOptions/>
  <pageMargins left="0.4" right="0.17" top="0.5" bottom="0.17" header="0.5" footer="0.17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4">
      <selection activeCell="C8" sqref="C8"/>
    </sheetView>
  </sheetViews>
  <sheetFormatPr defaultColWidth="9.140625" defaultRowHeight="27" customHeight="1"/>
  <cols>
    <col min="1" max="1" width="6.421875" style="355" customWidth="1"/>
    <col min="2" max="2" width="42.00390625" style="353" customWidth="1"/>
    <col min="3" max="3" width="18.8515625" style="353" customWidth="1"/>
    <col min="4" max="4" width="25.140625" style="353" customWidth="1"/>
    <col min="5" max="5" width="18.28125" style="356" customWidth="1"/>
    <col min="6" max="6" width="15.7109375" style="353" customWidth="1"/>
    <col min="7" max="7" width="11.57421875" style="353" customWidth="1"/>
    <col min="8" max="8" width="12.28125" style="353" customWidth="1"/>
    <col min="9" max="16384" width="9.140625" style="353" customWidth="1"/>
  </cols>
  <sheetData>
    <row r="1" spans="1:6" ht="27" customHeight="1">
      <c r="A1" s="421" t="s">
        <v>503</v>
      </c>
      <c r="B1" s="421"/>
      <c r="C1" s="421"/>
      <c r="D1" s="421"/>
      <c r="E1" s="421"/>
      <c r="F1" s="421"/>
    </row>
    <row r="2" spans="1:6" ht="27" customHeight="1">
      <c r="A2" s="421" t="s">
        <v>589</v>
      </c>
      <c r="B2" s="421"/>
      <c r="C2" s="421"/>
      <c r="D2" s="421"/>
      <c r="E2" s="421"/>
      <c r="F2" s="421"/>
    </row>
    <row r="3" spans="1:6" ht="27" customHeight="1">
      <c r="A3" s="421" t="s">
        <v>588</v>
      </c>
      <c r="B3" s="421"/>
      <c r="C3" s="421"/>
      <c r="D3" s="421"/>
      <c r="E3" s="421"/>
      <c r="F3" s="421"/>
    </row>
    <row r="4" spans="1:6" ht="27" customHeight="1">
      <c r="A4" s="422" t="s">
        <v>513</v>
      </c>
      <c r="B4" s="423"/>
      <c r="C4" s="354"/>
      <c r="D4" s="354"/>
      <c r="E4" s="354"/>
      <c r="F4" s="354"/>
    </row>
    <row r="5" ht="4.5" customHeight="1"/>
    <row r="6" spans="1:6" ht="27" customHeight="1">
      <c r="A6" s="357" t="s">
        <v>514</v>
      </c>
      <c r="B6" s="357" t="s">
        <v>515</v>
      </c>
      <c r="C6" s="357" t="s">
        <v>274</v>
      </c>
      <c r="D6" s="357" t="s">
        <v>516</v>
      </c>
      <c r="E6" s="358" t="s">
        <v>80</v>
      </c>
      <c r="F6" s="357" t="s">
        <v>68</v>
      </c>
    </row>
    <row r="7" spans="1:6" ht="27" customHeight="1">
      <c r="A7" s="359">
        <v>1</v>
      </c>
      <c r="B7" s="360" t="s">
        <v>517</v>
      </c>
      <c r="C7" s="361">
        <v>21292</v>
      </c>
      <c r="D7" s="360" t="s">
        <v>518</v>
      </c>
      <c r="E7" s="362">
        <v>4100</v>
      </c>
      <c r="F7" s="359"/>
    </row>
    <row r="8" spans="1:8" ht="27" customHeight="1">
      <c r="A8" s="359">
        <v>2</v>
      </c>
      <c r="B8" s="360" t="s">
        <v>519</v>
      </c>
      <c r="C8" s="361">
        <v>20263</v>
      </c>
      <c r="D8" s="360" t="s">
        <v>520</v>
      </c>
      <c r="E8" s="362">
        <v>14140</v>
      </c>
      <c r="F8" s="360"/>
      <c r="H8" s="363"/>
    </row>
    <row r="9" spans="1:6" ht="27" customHeight="1">
      <c r="A9" s="359">
        <v>3</v>
      </c>
      <c r="B9" s="360" t="s">
        <v>517</v>
      </c>
      <c r="C9" s="361">
        <v>21390</v>
      </c>
      <c r="D9" s="360" t="s">
        <v>518</v>
      </c>
      <c r="E9" s="362">
        <v>5900</v>
      </c>
      <c r="F9" s="360"/>
    </row>
    <row r="10" spans="1:6" ht="27" customHeight="1">
      <c r="A10" s="359">
        <v>4</v>
      </c>
      <c r="B10" s="360" t="s">
        <v>521</v>
      </c>
      <c r="C10" s="361">
        <v>21697</v>
      </c>
      <c r="D10" s="360" t="s">
        <v>522</v>
      </c>
      <c r="E10" s="362">
        <v>4295</v>
      </c>
      <c r="F10" s="360"/>
    </row>
    <row r="11" spans="1:6" ht="27" customHeight="1">
      <c r="A11" s="359">
        <v>5</v>
      </c>
      <c r="B11" s="360" t="s">
        <v>523</v>
      </c>
      <c r="C11" s="361">
        <v>21734</v>
      </c>
      <c r="D11" s="360" t="s">
        <v>518</v>
      </c>
      <c r="E11" s="362">
        <v>5300</v>
      </c>
      <c r="F11" s="360"/>
    </row>
    <row r="12" spans="1:6" ht="27" customHeight="1">
      <c r="A12" s="359">
        <v>6</v>
      </c>
      <c r="B12" s="360" t="s">
        <v>524</v>
      </c>
      <c r="C12" s="361">
        <v>21835</v>
      </c>
      <c r="D12" s="360" t="s">
        <v>518</v>
      </c>
      <c r="E12" s="362">
        <v>5250</v>
      </c>
      <c r="F12" s="360"/>
    </row>
    <row r="13" spans="1:8" ht="27" customHeight="1">
      <c r="A13" s="359">
        <v>7</v>
      </c>
      <c r="B13" s="360" t="s">
        <v>525</v>
      </c>
      <c r="C13" s="361">
        <v>21835</v>
      </c>
      <c r="D13" s="360" t="s">
        <v>518</v>
      </c>
      <c r="E13" s="362">
        <v>5300</v>
      </c>
      <c r="F13" s="360"/>
      <c r="H13" s="363"/>
    </row>
    <row r="14" spans="1:8" ht="27" customHeight="1">
      <c r="A14" s="359">
        <v>8</v>
      </c>
      <c r="B14" s="360" t="s">
        <v>526</v>
      </c>
      <c r="C14" s="361">
        <v>21881</v>
      </c>
      <c r="D14" s="360" t="s">
        <v>527</v>
      </c>
      <c r="E14" s="362">
        <v>4850</v>
      </c>
      <c r="F14" s="360"/>
      <c r="H14" s="363"/>
    </row>
    <row r="15" spans="1:8" ht="27" customHeight="1">
      <c r="A15" s="359">
        <v>9</v>
      </c>
      <c r="B15" s="360" t="s">
        <v>519</v>
      </c>
      <c r="C15" s="361">
        <v>21831</v>
      </c>
      <c r="D15" s="360" t="s">
        <v>527</v>
      </c>
      <c r="E15" s="362">
        <v>4750</v>
      </c>
      <c r="F15" s="360"/>
      <c r="H15" s="363"/>
    </row>
    <row r="16" spans="1:8" ht="27" customHeight="1">
      <c r="A16" s="359">
        <v>10</v>
      </c>
      <c r="B16" s="360" t="s">
        <v>528</v>
      </c>
      <c r="C16" s="361">
        <v>21811</v>
      </c>
      <c r="D16" s="360" t="s">
        <v>527</v>
      </c>
      <c r="E16" s="362">
        <v>3100</v>
      </c>
      <c r="F16" s="360"/>
      <c r="H16" s="363"/>
    </row>
    <row r="17" spans="1:8" ht="27" customHeight="1">
      <c r="A17" s="359">
        <v>11</v>
      </c>
      <c r="B17" s="360" t="s">
        <v>529</v>
      </c>
      <c r="C17" s="361">
        <v>21811</v>
      </c>
      <c r="D17" s="360" t="s">
        <v>527</v>
      </c>
      <c r="E17" s="362">
        <v>4600</v>
      </c>
      <c r="F17" s="360"/>
      <c r="H17" s="363"/>
    </row>
    <row r="18" spans="1:8" ht="27" customHeight="1">
      <c r="A18" s="359">
        <v>12</v>
      </c>
      <c r="B18" s="360" t="s">
        <v>530</v>
      </c>
      <c r="C18" s="361">
        <v>21831</v>
      </c>
      <c r="D18" s="360" t="s">
        <v>527</v>
      </c>
      <c r="E18" s="362">
        <v>2600</v>
      </c>
      <c r="F18" s="360"/>
      <c r="H18" s="363"/>
    </row>
    <row r="19" spans="1:8" ht="27" customHeight="1">
      <c r="A19" s="359">
        <v>13</v>
      </c>
      <c r="B19" s="360" t="s">
        <v>531</v>
      </c>
      <c r="C19" s="361">
        <v>21831</v>
      </c>
      <c r="D19" s="360" t="s">
        <v>532</v>
      </c>
      <c r="E19" s="362">
        <v>7475</v>
      </c>
      <c r="F19" s="360"/>
      <c r="H19" s="363"/>
    </row>
    <row r="20" spans="1:8" ht="27" customHeight="1">
      <c r="A20" s="359">
        <v>14</v>
      </c>
      <c r="B20" s="360" t="s">
        <v>533</v>
      </c>
      <c r="C20" s="361">
        <v>21867</v>
      </c>
      <c r="D20" s="360" t="s">
        <v>534</v>
      </c>
      <c r="E20" s="362">
        <v>3550</v>
      </c>
      <c r="F20" s="360"/>
      <c r="H20" s="363"/>
    </row>
    <row r="21" spans="1:8" ht="27" customHeight="1">
      <c r="A21" s="359">
        <v>15</v>
      </c>
      <c r="B21" s="365" t="s">
        <v>536</v>
      </c>
      <c r="C21" s="366">
        <v>21867</v>
      </c>
      <c r="D21" s="360" t="s">
        <v>535</v>
      </c>
      <c r="E21" s="362">
        <v>2350</v>
      </c>
      <c r="F21" s="360"/>
      <c r="H21" s="363"/>
    </row>
    <row r="22" spans="1:8" ht="27" customHeight="1">
      <c r="A22" s="359">
        <v>16</v>
      </c>
      <c r="B22" s="364" t="s">
        <v>537</v>
      </c>
      <c r="C22" s="361">
        <v>21649</v>
      </c>
      <c r="D22" s="360" t="s">
        <v>538</v>
      </c>
      <c r="E22" s="362">
        <v>3500</v>
      </c>
      <c r="F22" s="360"/>
      <c r="H22" s="363"/>
    </row>
    <row r="23" spans="1:8" ht="27" customHeight="1">
      <c r="A23" s="359">
        <v>17</v>
      </c>
      <c r="B23" s="364" t="s">
        <v>539</v>
      </c>
      <c r="C23" s="361">
        <v>22148</v>
      </c>
      <c r="D23" s="360" t="s">
        <v>518</v>
      </c>
      <c r="E23" s="362">
        <v>24700</v>
      </c>
      <c r="F23" s="360"/>
      <c r="H23" s="363"/>
    </row>
    <row r="24" spans="1:8" ht="27" customHeight="1">
      <c r="A24" s="359">
        <v>18</v>
      </c>
      <c r="B24" s="364" t="s">
        <v>540</v>
      </c>
      <c r="C24" s="366">
        <v>21739</v>
      </c>
      <c r="D24" s="360" t="s">
        <v>541</v>
      </c>
      <c r="E24" s="362">
        <v>1850</v>
      </c>
      <c r="F24" s="360"/>
      <c r="H24" s="363"/>
    </row>
    <row r="25" spans="1:8" ht="27" customHeight="1">
      <c r="A25" s="359">
        <v>19</v>
      </c>
      <c r="B25" s="364" t="s">
        <v>542</v>
      </c>
      <c r="C25" s="366">
        <v>21740</v>
      </c>
      <c r="D25" s="360" t="s">
        <v>541</v>
      </c>
      <c r="E25" s="362">
        <v>1850</v>
      </c>
      <c r="F25" s="360"/>
      <c r="H25" s="363"/>
    </row>
    <row r="26" spans="1:8" ht="27" customHeight="1">
      <c r="A26" s="359">
        <v>20</v>
      </c>
      <c r="B26" s="364" t="s">
        <v>543</v>
      </c>
      <c r="C26" s="366"/>
      <c r="D26" s="360" t="s">
        <v>518</v>
      </c>
      <c r="E26" s="362">
        <v>4885</v>
      </c>
      <c r="F26" s="360"/>
      <c r="H26" s="363"/>
    </row>
    <row r="27" spans="1:8" ht="27" customHeight="1">
      <c r="A27" s="359">
        <v>21</v>
      </c>
      <c r="B27" s="364" t="s">
        <v>544</v>
      </c>
      <c r="C27" s="366"/>
      <c r="D27" s="360" t="s">
        <v>545</v>
      </c>
      <c r="E27" s="362">
        <v>8850</v>
      </c>
      <c r="F27" s="360"/>
      <c r="H27" s="363"/>
    </row>
    <row r="28" spans="1:8" ht="27" customHeight="1">
      <c r="A28" s="359">
        <v>22</v>
      </c>
      <c r="B28" s="364" t="s">
        <v>546</v>
      </c>
      <c r="C28" s="366" t="s">
        <v>547</v>
      </c>
      <c r="D28" s="360" t="s">
        <v>548</v>
      </c>
      <c r="E28" s="362">
        <v>5000</v>
      </c>
      <c r="F28" s="360"/>
      <c r="H28" s="363"/>
    </row>
    <row r="29" spans="1:8" ht="27" customHeight="1">
      <c r="A29" s="359">
        <v>23</v>
      </c>
      <c r="B29" s="364" t="s">
        <v>549</v>
      </c>
      <c r="C29" s="366"/>
      <c r="D29" s="360" t="s">
        <v>550</v>
      </c>
      <c r="E29" s="362">
        <v>3800</v>
      </c>
      <c r="F29" s="360"/>
      <c r="H29" s="363"/>
    </row>
    <row r="30" spans="1:8" ht="27" customHeight="1">
      <c r="A30" s="359">
        <v>24</v>
      </c>
      <c r="B30" s="364" t="s">
        <v>551</v>
      </c>
      <c r="C30" s="366"/>
      <c r="D30" s="360" t="s">
        <v>552</v>
      </c>
      <c r="E30" s="362">
        <v>3745</v>
      </c>
      <c r="F30" s="360"/>
      <c r="H30" s="363"/>
    </row>
    <row r="31" spans="1:8" ht="27" customHeight="1">
      <c r="A31" s="359">
        <v>25</v>
      </c>
      <c r="B31" s="364" t="s">
        <v>553</v>
      </c>
      <c r="C31" s="366"/>
      <c r="D31" s="360" t="s">
        <v>554</v>
      </c>
      <c r="E31" s="362">
        <v>5450</v>
      </c>
      <c r="F31" s="360"/>
      <c r="H31" s="363"/>
    </row>
    <row r="32" spans="1:8" ht="27" customHeight="1">
      <c r="A32" s="359">
        <v>26</v>
      </c>
      <c r="B32" s="364" t="s">
        <v>555</v>
      </c>
      <c r="C32" s="366"/>
      <c r="D32" s="360" t="s">
        <v>554</v>
      </c>
      <c r="E32" s="362">
        <v>5250</v>
      </c>
      <c r="F32" s="360"/>
      <c r="H32" s="363"/>
    </row>
    <row r="33" spans="1:8" ht="27" customHeight="1">
      <c r="A33" s="359">
        <v>27</v>
      </c>
      <c r="B33" s="367" t="s">
        <v>556</v>
      </c>
      <c r="C33" s="368"/>
      <c r="D33" s="360" t="s">
        <v>557</v>
      </c>
      <c r="E33" s="362">
        <v>5300</v>
      </c>
      <c r="F33" s="360"/>
      <c r="H33" s="363"/>
    </row>
    <row r="34" spans="1:8" ht="27" customHeight="1">
      <c r="A34" s="359">
        <v>28</v>
      </c>
      <c r="B34" s="367" t="s">
        <v>558</v>
      </c>
      <c r="C34" s="368"/>
      <c r="D34" s="360" t="s">
        <v>557</v>
      </c>
      <c r="E34" s="362">
        <v>5300</v>
      </c>
      <c r="F34" s="360"/>
      <c r="H34" s="363"/>
    </row>
    <row r="35" spans="1:8" ht="27" customHeight="1">
      <c r="A35" s="359">
        <v>29</v>
      </c>
      <c r="B35" s="367" t="s">
        <v>559</v>
      </c>
      <c r="C35" s="368"/>
      <c r="D35" s="360" t="s">
        <v>557</v>
      </c>
      <c r="E35" s="362">
        <v>5300</v>
      </c>
      <c r="F35" s="360"/>
      <c r="H35" s="363"/>
    </row>
    <row r="36" spans="1:8" ht="27" customHeight="1">
      <c r="A36" s="359">
        <v>30</v>
      </c>
      <c r="B36" s="367" t="s">
        <v>560</v>
      </c>
      <c r="C36" s="368"/>
      <c r="D36" s="360" t="s">
        <v>557</v>
      </c>
      <c r="E36" s="362">
        <v>5300</v>
      </c>
      <c r="F36" s="360"/>
      <c r="H36" s="363"/>
    </row>
    <row r="37" spans="1:6" ht="27" customHeight="1">
      <c r="A37" s="418" t="s">
        <v>109</v>
      </c>
      <c r="B37" s="419"/>
      <c r="C37" s="419"/>
      <c r="D37" s="420"/>
      <c r="E37" s="369">
        <f>SUM(E7:E36)</f>
        <v>167640</v>
      </c>
      <c r="F37" s="360"/>
    </row>
    <row r="41" spans="9:10" ht="27" customHeight="1">
      <c r="I41" s="353" t="s">
        <v>561</v>
      </c>
      <c r="J41" s="356">
        <v>207535</v>
      </c>
    </row>
  </sheetData>
  <sheetProtection/>
  <mergeCells count="5">
    <mergeCell ref="A37:D37"/>
    <mergeCell ref="A1:F1"/>
    <mergeCell ref="A2:F2"/>
    <mergeCell ref="A3:F3"/>
    <mergeCell ref="A4:B4"/>
  </mergeCells>
  <printOptions/>
  <pageMargins left="0.1968503937007874" right="0.03937007874015748" top="0.15748031496062992" bottom="0.11811023622047245" header="0.1968503937007874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7"/>
  <sheetViews>
    <sheetView zoomScalePageLayoutView="0" workbookViewId="0" topLeftCell="A10">
      <selection activeCell="F21" sqref="F21"/>
    </sheetView>
  </sheetViews>
  <sheetFormatPr defaultColWidth="9.140625" defaultRowHeight="21.75"/>
  <cols>
    <col min="1" max="1" width="12.8515625" style="3" customWidth="1"/>
    <col min="2" max="2" width="24.00390625" style="3" customWidth="1"/>
    <col min="3" max="3" width="15.00390625" style="3" customWidth="1"/>
    <col min="4" max="4" width="15.421875" style="3" customWidth="1"/>
    <col min="5" max="5" width="15.57421875" style="66" customWidth="1"/>
    <col min="6" max="6" width="16.421875" style="3" customWidth="1"/>
    <col min="7" max="7" width="14.57421875" style="3" customWidth="1"/>
    <col min="8" max="8" width="3.57421875" style="3" customWidth="1"/>
    <col min="9" max="9" width="11.28125" style="3" bestFit="1" customWidth="1"/>
    <col min="10" max="16384" width="9.140625" style="3" customWidth="1"/>
  </cols>
  <sheetData>
    <row r="1" spans="1:7" s="5" customFormat="1" ht="23.25">
      <c r="A1" s="6" t="s">
        <v>222</v>
      </c>
      <c r="B1" s="6"/>
      <c r="C1" s="3"/>
      <c r="D1" s="3"/>
      <c r="E1" s="3" t="s">
        <v>309</v>
      </c>
      <c r="F1" s="3"/>
      <c r="G1" s="3"/>
    </row>
    <row r="2" spans="1:7" s="5" customFormat="1" ht="23.25">
      <c r="A2" s="3"/>
      <c r="B2" s="3"/>
      <c r="C2" s="3"/>
      <c r="D2" s="3"/>
      <c r="E2" s="3" t="s">
        <v>310</v>
      </c>
      <c r="F2" s="3"/>
      <c r="G2" s="3"/>
    </row>
    <row r="3" spans="1:8" s="5" customFormat="1" ht="28.5" customHeight="1">
      <c r="A3" s="404" t="s">
        <v>150</v>
      </c>
      <c r="B3" s="404"/>
      <c r="C3" s="404"/>
      <c r="D3" s="404"/>
      <c r="E3" s="404"/>
      <c r="F3" s="404"/>
      <c r="G3" s="3"/>
      <c r="H3" s="16"/>
    </row>
    <row r="4" spans="1:7" s="5" customFormat="1" ht="23.25">
      <c r="A4" s="3" t="s">
        <v>151</v>
      </c>
      <c r="B4" s="3"/>
      <c r="C4" s="3"/>
      <c r="D4" s="3"/>
      <c r="E4" s="66"/>
      <c r="F4" s="3"/>
      <c r="G4" s="3"/>
    </row>
    <row r="5" spans="1:7" s="5" customFormat="1" ht="23.25">
      <c r="A5" s="129" t="s">
        <v>5</v>
      </c>
      <c r="B5" s="130"/>
      <c r="C5" s="98" t="s">
        <v>54</v>
      </c>
      <c r="D5" s="98" t="s">
        <v>152</v>
      </c>
      <c r="E5" s="98" t="s">
        <v>55</v>
      </c>
      <c r="F5" s="98" t="s">
        <v>56</v>
      </c>
      <c r="G5" s="3"/>
    </row>
    <row r="6" spans="1:7" s="5" customFormat="1" ht="23.25">
      <c r="A6" s="203" t="s">
        <v>57</v>
      </c>
      <c r="B6" s="204"/>
      <c r="C6" s="99" t="s">
        <v>58</v>
      </c>
      <c r="D6" s="99" t="s">
        <v>153</v>
      </c>
      <c r="E6" s="100">
        <v>65144</v>
      </c>
      <c r="F6" s="101"/>
      <c r="G6" s="3"/>
    </row>
    <row r="7" spans="1:7" s="5" customFormat="1" ht="23.25">
      <c r="A7" s="102" t="s">
        <v>154</v>
      </c>
      <c r="B7" s="102"/>
      <c r="C7" s="103" t="s">
        <v>90</v>
      </c>
      <c r="D7" s="103"/>
      <c r="E7" s="104"/>
      <c r="F7" s="105"/>
      <c r="G7" s="3"/>
    </row>
    <row r="8" spans="1:9" s="5" customFormat="1" ht="23.25">
      <c r="A8" s="102" t="s">
        <v>238</v>
      </c>
      <c r="B8" s="102"/>
      <c r="C8" s="103"/>
      <c r="D8" s="103" t="s">
        <v>155</v>
      </c>
      <c r="E8" s="104">
        <v>980101.63</v>
      </c>
      <c r="F8" s="105"/>
      <c r="G8" s="3"/>
      <c r="I8" s="37"/>
    </row>
    <row r="9" spans="1:7" s="5" customFormat="1" ht="23.25">
      <c r="A9" s="102" t="s">
        <v>156</v>
      </c>
      <c r="B9" s="102"/>
      <c r="C9" s="103" t="s">
        <v>59</v>
      </c>
      <c r="D9" s="103"/>
      <c r="E9" s="104"/>
      <c r="F9" s="102"/>
      <c r="G9" s="3"/>
    </row>
    <row r="10" spans="1:7" s="5" customFormat="1" ht="23.25">
      <c r="A10" s="102" t="s">
        <v>239</v>
      </c>
      <c r="B10" s="102"/>
      <c r="C10" s="102"/>
      <c r="D10" s="105">
        <v>5</v>
      </c>
      <c r="E10" s="104">
        <v>96583.77</v>
      </c>
      <c r="F10" s="102"/>
      <c r="G10" s="3"/>
    </row>
    <row r="11" spans="1:7" s="5" customFormat="1" ht="23.25">
      <c r="A11" s="102" t="s">
        <v>240</v>
      </c>
      <c r="B11" s="137"/>
      <c r="C11" s="103"/>
      <c r="D11" s="103"/>
      <c r="E11" s="104">
        <v>231.12</v>
      </c>
      <c r="F11" s="102"/>
      <c r="G11" s="3"/>
    </row>
    <row r="12" spans="1:7" s="5" customFormat="1" ht="23.25">
      <c r="A12" s="102" t="s">
        <v>302</v>
      </c>
      <c r="B12" s="137"/>
      <c r="C12" s="103"/>
      <c r="D12" s="103"/>
      <c r="E12" s="104">
        <v>5360.56</v>
      </c>
      <c r="F12" s="102"/>
      <c r="G12" s="3"/>
    </row>
    <row r="13" spans="1:7" s="5" customFormat="1" ht="23.25">
      <c r="A13" s="205" t="s">
        <v>262</v>
      </c>
      <c r="B13" s="137"/>
      <c r="C13" s="102"/>
      <c r="D13" s="105"/>
      <c r="E13" s="104">
        <v>0</v>
      </c>
      <c r="F13" s="102"/>
      <c r="G13" s="3"/>
    </row>
    <row r="14" spans="1:7" s="5" customFormat="1" ht="23.25">
      <c r="A14" s="205" t="s">
        <v>157</v>
      </c>
      <c r="B14" s="137"/>
      <c r="C14" s="103" t="s">
        <v>58</v>
      </c>
      <c r="D14" s="103" t="s">
        <v>153</v>
      </c>
      <c r="E14" s="104"/>
      <c r="F14" s="106">
        <v>65004</v>
      </c>
      <c r="G14" s="114"/>
    </row>
    <row r="15" spans="1:7" s="5" customFormat="1" ht="23.25">
      <c r="A15" s="102" t="s">
        <v>158</v>
      </c>
      <c r="B15" s="102"/>
      <c r="C15" s="105">
        <v>821</v>
      </c>
      <c r="D15" s="105">
        <v>15</v>
      </c>
      <c r="E15" s="104"/>
      <c r="F15" s="106">
        <v>1029669.96</v>
      </c>
      <c r="G15" s="3"/>
    </row>
    <row r="16" spans="1:7" s="5" customFormat="1" ht="23.25">
      <c r="A16" s="102" t="s">
        <v>159</v>
      </c>
      <c r="B16" s="102"/>
      <c r="C16" s="105">
        <v>906</v>
      </c>
      <c r="D16" s="105"/>
      <c r="E16" s="104"/>
      <c r="F16" s="106">
        <v>0</v>
      </c>
      <c r="G16" s="3"/>
    </row>
    <row r="17" spans="1:7" s="5" customFormat="1" ht="23.25">
      <c r="A17" s="102" t="s">
        <v>160</v>
      </c>
      <c r="B17" s="102"/>
      <c r="C17" s="105">
        <v>907</v>
      </c>
      <c r="D17" s="105"/>
      <c r="E17" s="104"/>
      <c r="F17" s="106">
        <v>0</v>
      </c>
      <c r="G17" s="3"/>
    </row>
    <row r="18" spans="1:7" s="5" customFormat="1" ht="23.25">
      <c r="A18" s="102" t="s">
        <v>205</v>
      </c>
      <c r="B18" s="102"/>
      <c r="C18" s="105">
        <v>903</v>
      </c>
      <c r="D18" s="105">
        <v>53</v>
      </c>
      <c r="E18" s="104"/>
      <c r="F18" s="106">
        <v>51800</v>
      </c>
      <c r="G18" s="3"/>
    </row>
    <row r="19" spans="1:7" s="5" customFormat="1" ht="23.25">
      <c r="A19" s="102" t="s">
        <v>277</v>
      </c>
      <c r="B19" s="102"/>
      <c r="C19" s="103" t="s">
        <v>47</v>
      </c>
      <c r="D19" s="105"/>
      <c r="E19" s="104"/>
      <c r="F19" s="106">
        <v>500</v>
      </c>
      <c r="G19" s="3"/>
    </row>
    <row r="20" spans="1:7" s="5" customFormat="1" ht="23.25">
      <c r="A20" s="102" t="s">
        <v>303</v>
      </c>
      <c r="B20" s="137"/>
      <c r="C20" s="102"/>
      <c r="D20" s="102"/>
      <c r="E20" s="107"/>
      <c r="F20" s="104">
        <v>231.12</v>
      </c>
      <c r="G20" s="3"/>
    </row>
    <row r="21" spans="1:7" s="5" customFormat="1" ht="23.25">
      <c r="A21" s="102" t="s">
        <v>320</v>
      </c>
      <c r="B21" s="137"/>
      <c r="C21" s="288">
        <v>821</v>
      </c>
      <c r="D21" s="249"/>
      <c r="E21" s="250"/>
      <c r="F21" s="251">
        <v>216</v>
      </c>
      <c r="G21" s="3"/>
    </row>
    <row r="22" spans="1:7" s="5" customFormat="1" ht="23.25">
      <c r="A22" s="247"/>
      <c r="B22" s="248"/>
      <c r="C22" s="249"/>
      <c r="D22" s="249"/>
      <c r="E22" s="250"/>
      <c r="F22" s="251"/>
      <c r="G22" s="3"/>
    </row>
    <row r="23" spans="1:7" s="5" customFormat="1" ht="23.25">
      <c r="A23" s="247"/>
      <c r="B23" s="248"/>
      <c r="C23" s="249"/>
      <c r="D23" s="249"/>
      <c r="E23" s="250"/>
      <c r="F23" s="251"/>
      <c r="G23" s="3"/>
    </row>
    <row r="24" spans="1:7" s="5" customFormat="1" ht="24" thickBot="1">
      <c r="A24" s="206"/>
      <c r="B24" s="207"/>
      <c r="C24" s="108"/>
      <c r="D24" s="108"/>
      <c r="E24" s="109"/>
      <c r="F24" s="108"/>
      <c r="G24" s="3"/>
    </row>
    <row r="25" spans="1:7" s="5" customFormat="1" ht="28.5" customHeight="1" thickBot="1" thickTop="1">
      <c r="A25" s="143"/>
      <c r="B25" s="144"/>
      <c r="C25" s="110"/>
      <c r="D25" s="110"/>
      <c r="E25" s="111">
        <f>SUM(E6:E13)</f>
        <v>1147421.08</v>
      </c>
      <c r="F25" s="112">
        <f>SUM(F14:F24)</f>
        <v>1147421.08</v>
      </c>
      <c r="G25" s="3"/>
    </row>
    <row r="26" spans="5:7" s="5" customFormat="1" ht="24.75" customHeight="1" thickTop="1">
      <c r="E26" s="67"/>
      <c r="F26" s="126"/>
      <c r="G26" s="3"/>
    </row>
    <row r="27" spans="1:7" s="5" customFormat="1" ht="23.25">
      <c r="A27" s="113" t="s">
        <v>161</v>
      </c>
      <c r="B27" s="128"/>
      <c r="C27" s="3"/>
      <c r="D27" s="3"/>
      <c r="E27" s="66"/>
      <c r="F27" s="114"/>
      <c r="G27" s="3"/>
    </row>
    <row r="28" spans="1:7" s="5" customFormat="1" ht="24.75" customHeight="1">
      <c r="A28" s="3" t="s">
        <v>304</v>
      </c>
      <c r="C28" s="3"/>
      <c r="D28" s="3"/>
      <c r="E28" s="66"/>
      <c r="F28" s="3"/>
      <c r="G28" s="3"/>
    </row>
    <row r="29" spans="1:7" s="5" customFormat="1" ht="23.25">
      <c r="A29" s="120" t="s">
        <v>223</v>
      </c>
      <c r="B29" s="120"/>
      <c r="C29" s="426" t="s">
        <v>162</v>
      </c>
      <c r="D29" s="427"/>
      <c r="E29" s="426" t="s">
        <v>265</v>
      </c>
      <c r="F29" s="427"/>
      <c r="G29" s="16"/>
    </row>
    <row r="30" spans="1:7" s="5" customFormat="1" ht="23.25">
      <c r="A30" s="16"/>
      <c r="B30" s="16"/>
      <c r="C30" s="96"/>
      <c r="D30" s="94"/>
      <c r="E30" s="96"/>
      <c r="F30" s="94"/>
      <c r="G30" s="16"/>
    </row>
    <row r="31" spans="1:7" s="5" customFormat="1" ht="23.25">
      <c r="A31" s="16"/>
      <c r="B31" s="16"/>
      <c r="C31" s="96"/>
      <c r="D31" s="94"/>
      <c r="E31" s="96"/>
      <c r="F31" s="94"/>
      <c r="G31" s="16"/>
    </row>
    <row r="32" spans="1:7" s="5" customFormat="1" ht="23.25">
      <c r="A32" s="428" t="s">
        <v>263</v>
      </c>
      <c r="B32" s="429"/>
      <c r="C32" s="428" t="s">
        <v>253</v>
      </c>
      <c r="D32" s="429"/>
      <c r="E32" s="428" t="s">
        <v>263</v>
      </c>
      <c r="F32" s="429"/>
      <c r="G32" s="16"/>
    </row>
    <row r="33" spans="1:7" s="5" customFormat="1" ht="23.25">
      <c r="A33" s="424" t="s">
        <v>264</v>
      </c>
      <c r="B33" s="425"/>
      <c r="C33" s="424" t="s">
        <v>164</v>
      </c>
      <c r="D33" s="425"/>
      <c r="E33" s="424" t="s">
        <v>264</v>
      </c>
      <c r="F33" s="425"/>
      <c r="G33" s="16"/>
    </row>
    <row r="34" spans="1:5" s="5" customFormat="1" ht="23.25">
      <c r="A34" s="14"/>
      <c r="B34" s="14"/>
      <c r="E34" s="67"/>
    </row>
    <row r="90" ht="23.25">
      <c r="F90" s="3" t="s">
        <v>241</v>
      </c>
    </row>
    <row r="91" ht="23.25">
      <c r="F91" s="3" t="s">
        <v>237</v>
      </c>
    </row>
    <row r="92" ht="23.25">
      <c r="F92" s="3" t="s">
        <v>242</v>
      </c>
    </row>
    <row r="97" ht="23.25">
      <c r="F97" s="3" t="s">
        <v>243</v>
      </c>
    </row>
    <row r="98" ht="23.25">
      <c r="F98" s="3" t="s">
        <v>237</v>
      </c>
    </row>
    <row r="99" ht="23.25">
      <c r="F99" s="3" t="s">
        <v>244</v>
      </c>
    </row>
    <row r="154" ht="23.25">
      <c r="F154" s="3" t="s">
        <v>245</v>
      </c>
    </row>
    <row r="336" ht="23.25">
      <c r="F336" s="3" t="s">
        <v>246</v>
      </c>
    </row>
    <row r="337" ht="23.25">
      <c r="F337" s="3" t="s">
        <v>237</v>
      </c>
    </row>
    <row r="427" ht="23.25">
      <c r="F427" s="3" t="s">
        <v>237</v>
      </c>
    </row>
  </sheetData>
  <sheetProtection/>
  <mergeCells count="9">
    <mergeCell ref="C33:D33"/>
    <mergeCell ref="E33:F33"/>
    <mergeCell ref="A3:F3"/>
    <mergeCell ref="C29:D29"/>
    <mergeCell ref="E29:F29"/>
    <mergeCell ref="C32:D32"/>
    <mergeCell ref="E32:F32"/>
    <mergeCell ref="A32:B32"/>
    <mergeCell ref="A33:B33"/>
  </mergeCells>
  <printOptions/>
  <pageMargins left="0.3" right="0.17" top="0.28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11" sqref="H11"/>
    </sheetView>
  </sheetViews>
  <sheetFormatPr defaultColWidth="9.140625" defaultRowHeight="21.75"/>
  <cols>
    <col min="1" max="1" width="41.8515625" style="1" customWidth="1"/>
    <col min="2" max="2" width="14.421875" style="1" customWidth="1"/>
    <col min="3" max="3" width="14.00390625" style="1" customWidth="1"/>
    <col min="4" max="4" width="16.7109375" style="76" customWidth="1"/>
    <col min="5" max="5" width="15.8515625" style="1" customWidth="1"/>
    <col min="6" max="6" width="22.421875" style="1" customWidth="1"/>
    <col min="7" max="7" width="9.8515625" style="1" bestFit="1" customWidth="1"/>
    <col min="8" max="16384" width="9.140625" style="1" customWidth="1"/>
  </cols>
  <sheetData>
    <row r="1" spans="1:4" ht="24" customHeight="1">
      <c r="A1" s="13" t="s">
        <v>222</v>
      </c>
      <c r="D1" s="3" t="s">
        <v>308</v>
      </c>
    </row>
    <row r="2" ht="23.25">
      <c r="D2" s="3" t="s">
        <v>307</v>
      </c>
    </row>
    <row r="3" spans="1:5" ht="21">
      <c r="A3" s="430" t="s">
        <v>150</v>
      </c>
      <c r="B3" s="430"/>
      <c r="C3" s="430"/>
      <c r="D3" s="430"/>
      <c r="E3" s="430"/>
    </row>
    <row r="4" ht="21">
      <c r="A4" s="1" t="s">
        <v>165</v>
      </c>
    </row>
    <row r="5" spans="1:7" ht="28.5" customHeight="1">
      <c r="A5" s="153" t="s">
        <v>5</v>
      </c>
      <c r="B5" s="153" t="s">
        <v>54</v>
      </c>
      <c r="C5" s="153" t="s">
        <v>152</v>
      </c>
      <c r="D5" s="153" t="s">
        <v>55</v>
      </c>
      <c r="E5" s="153" t="s">
        <v>56</v>
      </c>
      <c r="G5" s="15"/>
    </row>
    <row r="6" spans="1:7" ht="23.25" customHeight="1">
      <c r="A6" s="154" t="s">
        <v>28</v>
      </c>
      <c r="B6" s="153">
        <v>5000</v>
      </c>
      <c r="C6" s="153"/>
      <c r="D6" s="155">
        <v>4477</v>
      </c>
      <c r="E6" s="155"/>
      <c r="G6" s="15"/>
    </row>
    <row r="7" spans="1:7" ht="23.25" customHeight="1">
      <c r="A7" s="154" t="s">
        <v>28</v>
      </c>
      <c r="B7" s="153">
        <v>6000</v>
      </c>
      <c r="C7" s="153"/>
      <c r="D7" s="155">
        <v>5000</v>
      </c>
      <c r="E7" s="155"/>
      <c r="F7" s="93"/>
      <c r="G7" s="15"/>
    </row>
    <row r="8" spans="1:7" ht="23.25" customHeight="1">
      <c r="A8" s="154" t="s">
        <v>28</v>
      </c>
      <c r="B8" s="153">
        <v>7000</v>
      </c>
      <c r="C8" s="153"/>
      <c r="D8" s="155">
        <v>0</v>
      </c>
      <c r="E8" s="155"/>
      <c r="G8" s="15"/>
    </row>
    <row r="9" spans="1:7" ht="21">
      <c r="A9" s="156" t="s">
        <v>166</v>
      </c>
      <c r="B9" s="153">
        <v>5100</v>
      </c>
      <c r="C9" s="153"/>
      <c r="D9" s="155">
        <v>220942</v>
      </c>
      <c r="E9" s="155"/>
      <c r="F9" s="93"/>
      <c r="G9" s="93"/>
    </row>
    <row r="10" spans="1:5" ht="21">
      <c r="A10" s="156" t="s">
        <v>167</v>
      </c>
      <c r="B10" s="153">
        <v>5100</v>
      </c>
      <c r="C10" s="153"/>
      <c r="D10" s="155">
        <v>154820</v>
      </c>
      <c r="E10" s="155"/>
    </row>
    <row r="11" spans="1:5" ht="21">
      <c r="A11" s="156" t="s">
        <v>168</v>
      </c>
      <c r="B11" s="153">
        <v>5120</v>
      </c>
      <c r="C11" s="153"/>
      <c r="D11" s="155">
        <v>0</v>
      </c>
      <c r="E11" s="155"/>
    </row>
    <row r="12" spans="1:5" ht="21">
      <c r="A12" s="156" t="s">
        <v>31</v>
      </c>
      <c r="B12" s="153">
        <v>5130</v>
      </c>
      <c r="C12" s="153"/>
      <c r="D12" s="155">
        <v>31910</v>
      </c>
      <c r="E12" s="155"/>
    </row>
    <row r="13" spans="1:5" ht="21">
      <c r="A13" s="156" t="s">
        <v>31</v>
      </c>
      <c r="B13" s="153">
        <v>7130</v>
      </c>
      <c r="C13" s="153"/>
      <c r="D13" s="155">
        <v>24600</v>
      </c>
      <c r="E13" s="155"/>
    </row>
    <row r="14" spans="1:5" ht="21">
      <c r="A14" s="156" t="s">
        <v>32</v>
      </c>
      <c r="B14" s="153">
        <v>5200</v>
      </c>
      <c r="C14" s="153"/>
      <c r="D14" s="155">
        <v>15036</v>
      </c>
      <c r="E14" s="155"/>
    </row>
    <row r="15" spans="1:5" ht="21">
      <c r="A15" s="156" t="s">
        <v>33</v>
      </c>
      <c r="B15" s="153">
        <v>5250</v>
      </c>
      <c r="C15" s="153"/>
      <c r="D15" s="155">
        <v>43158</v>
      </c>
      <c r="E15" s="155"/>
    </row>
    <row r="16" spans="1:6" ht="21">
      <c r="A16" s="156" t="s">
        <v>33</v>
      </c>
      <c r="B16" s="153">
        <v>6250</v>
      </c>
      <c r="C16" s="153"/>
      <c r="D16" s="155">
        <v>240862</v>
      </c>
      <c r="E16" s="155"/>
      <c r="F16" s="93"/>
    </row>
    <row r="17" spans="1:5" ht="21">
      <c r="A17" s="156" t="s">
        <v>34</v>
      </c>
      <c r="B17" s="153">
        <v>5270</v>
      </c>
      <c r="C17" s="153"/>
      <c r="D17" s="155">
        <v>65458.5</v>
      </c>
      <c r="E17" s="155"/>
    </row>
    <row r="18" spans="1:6" ht="21">
      <c r="A18" s="156" t="s">
        <v>34</v>
      </c>
      <c r="B18" s="153">
        <v>6270</v>
      </c>
      <c r="C18" s="153"/>
      <c r="D18" s="155">
        <v>76653.26</v>
      </c>
      <c r="E18" s="155"/>
      <c r="F18" s="93"/>
    </row>
    <row r="19" spans="1:7" ht="21">
      <c r="A19" s="156" t="s">
        <v>36</v>
      </c>
      <c r="B19" s="153">
        <v>5300</v>
      </c>
      <c r="C19" s="153"/>
      <c r="D19" s="155">
        <v>15202.94</v>
      </c>
      <c r="E19" s="155"/>
      <c r="F19" s="93"/>
      <c r="G19" s="93"/>
    </row>
    <row r="20" spans="1:8" ht="21">
      <c r="A20" s="156" t="s">
        <v>24</v>
      </c>
      <c r="B20" s="153">
        <v>5400</v>
      </c>
      <c r="C20" s="153"/>
      <c r="D20" s="155">
        <v>10000</v>
      </c>
      <c r="E20" s="155"/>
      <c r="G20" s="93"/>
      <c r="H20" s="93"/>
    </row>
    <row r="21" spans="1:8" ht="21">
      <c r="A21" s="156" t="s">
        <v>24</v>
      </c>
      <c r="B21" s="153">
        <v>6400</v>
      </c>
      <c r="C21" s="153"/>
      <c r="D21" s="155">
        <v>359678.58</v>
      </c>
      <c r="E21" s="155"/>
      <c r="F21" s="93">
        <f>SUM(D20:D21)</f>
        <v>369678.58</v>
      </c>
      <c r="G21" s="93"/>
      <c r="H21" s="93"/>
    </row>
    <row r="22" spans="1:7" ht="21">
      <c r="A22" s="156" t="s">
        <v>37</v>
      </c>
      <c r="B22" s="153">
        <v>6450</v>
      </c>
      <c r="C22" s="153"/>
      <c r="D22" s="155">
        <v>79000</v>
      </c>
      <c r="E22" s="155"/>
      <c r="F22" s="93"/>
      <c r="G22" s="93"/>
    </row>
    <row r="23" spans="1:7" ht="21">
      <c r="A23" s="156" t="s">
        <v>40</v>
      </c>
      <c r="B23" s="153">
        <v>6550</v>
      </c>
      <c r="C23" s="153"/>
      <c r="D23" s="155">
        <v>762700</v>
      </c>
      <c r="E23" s="155"/>
      <c r="G23" s="93"/>
    </row>
    <row r="24" spans="1:5" ht="21">
      <c r="A24" s="156" t="s">
        <v>287</v>
      </c>
      <c r="B24" s="153">
        <v>600</v>
      </c>
      <c r="C24" s="153"/>
      <c r="D24" s="155">
        <v>0</v>
      </c>
      <c r="E24" s="155"/>
    </row>
    <row r="25" spans="1:5" ht="21">
      <c r="A25" s="156" t="s">
        <v>42</v>
      </c>
      <c r="B25" s="153">
        <v>700</v>
      </c>
      <c r="C25" s="153"/>
      <c r="D25" s="155">
        <v>186000</v>
      </c>
      <c r="E25" s="155"/>
    </row>
    <row r="26" spans="1:5" ht="21">
      <c r="A26" s="156" t="s">
        <v>170</v>
      </c>
      <c r="B26" s="157" t="s">
        <v>47</v>
      </c>
      <c r="C26" s="153"/>
      <c r="D26" s="155">
        <v>287000</v>
      </c>
      <c r="E26" s="155"/>
    </row>
    <row r="27" spans="1:5" ht="21">
      <c r="A27" s="156" t="s">
        <v>286</v>
      </c>
      <c r="B27" s="160">
        <v>903</v>
      </c>
      <c r="C27" s="153"/>
      <c r="D27" s="155">
        <v>7362.86</v>
      </c>
      <c r="E27" s="155"/>
    </row>
    <row r="28" spans="1:5" ht="21">
      <c r="A28" s="156" t="s">
        <v>171</v>
      </c>
      <c r="B28" s="157" t="s">
        <v>90</v>
      </c>
      <c r="C28" s="157"/>
      <c r="D28" s="155"/>
      <c r="E28" s="155"/>
    </row>
    <row r="29" spans="1:7" ht="23.25">
      <c r="A29" s="135" t="s">
        <v>249</v>
      </c>
      <c r="B29" s="156"/>
      <c r="C29" s="153"/>
      <c r="D29" s="155"/>
      <c r="E29" s="155">
        <v>2191522.85</v>
      </c>
      <c r="G29" s="93"/>
    </row>
    <row r="30" spans="1:5" ht="23.25">
      <c r="A30" s="8" t="s">
        <v>248</v>
      </c>
      <c r="B30" s="159"/>
      <c r="C30" s="160"/>
      <c r="D30" s="158"/>
      <c r="E30" s="287">
        <v>450092</v>
      </c>
    </row>
    <row r="31" spans="1:5" ht="21">
      <c r="A31" s="159" t="s">
        <v>247</v>
      </c>
      <c r="B31" s="160">
        <v>902</v>
      </c>
      <c r="C31" s="160"/>
      <c r="D31" s="158"/>
      <c r="E31" s="158">
        <v>13681.29</v>
      </c>
    </row>
    <row r="32" spans="1:5" ht="21">
      <c r="A32" s="159" t="s">
        <v>206</v>
      </c>
      <c r="B32" s="160">
        <v>700</v>
      </c>
      <c r="C32" s="159"/>
      <c r="D32" s="158"/>
      <c r="E32" s="158">
        <v>2604</v>
      </c>
    </row>
    <row r="33" spans="1:5" ht="21.75" thickBot="1">
      <c r="A33" s="34" t="s">
        <v>305</v>
      </c>
      <c r="B33" s="34"/>
      <c r="C33" s="34"/>
      <c r="D33" s="161"/>
      <c r="E33" s="155">
        <v>800</v>
      </c>
    </row>
    <row r="34" spans="1:6" ht="32.25" customHeight="1" thickBot="1" thickTop="1">
      <c r="A34" s="162"/>
      <c r="B34" s="162"/>
      <c r="C34" s="162"/>
      <c r="D34" s="163">
        <f>SUM(D6:D32)</f>
        <v>2589861.14</v>
      </c>
      <c r="E34" s="163">
        <f>SUM(E29:E33)</f>
        <v>2658700.14</v>
      </c>
      <c r="F34" s="93"/>
    </row>
    <row r="35" spans="1:6" ht="24.75" customHeight="1" thickTop="1">
      <c r="A35" s="164" t="s">
        <v>207</v>
      </c>
      <c r="E35" s="93"/>
      <c r="F35" s="93"/>
    </row>
    <row r="36" spans="1:6" ht="21">
      <c r="A36" s="1" t="s">
        <v>306</v>
      </c>
      <c r="E36" s="93"/>
      <c r="F36" s="2"/>
    </row>
    <row r="37" spans="1:6" ht="24.75" customHeight="1">
      <c r="A37" s="165" t="s">
        <v>78</v>
      </c>
      <c r="B37" s="426" t="s">
        <v>162</v>
      </c>
      <c r="C37" s="427"/>
      <c r="D37" s="426" t="s">
        <v>265</v>
      </c>
      <c r="E37" s="427"/>
      <c r="F37" s="166"/>
    </row>
    <row r="38" spans="1:6" ht="24.75" customHeight="1">
      <c r="A38" s="166"/>
      <c r="B38" s="33"/>
      <c r="C38" s="166"/>
      <c r="D38" s="33"/>
      <c r="E38" s="167"/>
      <c r="F38" s="166"/>
    </row>
    <row r="39" spans="1:6" ht="24.75" customHeight="1">
      <c r="A39" s="166"/>
      <c r="B39" s="33"/>
      <c r="C39" s="166"/>
      <c r="D39" s="33"/>
      <c r="E39" s="167"/>
      <c r="F39" s="166"/>
    </row>
    <row r="40" spans="1:6" ht="24.75" customHeight="1">
      <c r="A40" s="94" t="s">
        <v>266</v>
      </c>
      <c r="B40" s="428" t="s">
        <v>253</v>
      </c>
      <c r="C40" s="429"/>
      <c r="D40" s="428" t="s">
        <v>263</v>
      </c>
      <c r="E40" s="429"/>
      <c r="F40" s="166"/>
    </row>
    <row r="41" spans="1:6" ht="24.75" customHeight="1">
      <c r="A41" s="115" t="s">
        <v>264</v>
      </c>
      <c r="B41" s="424" t="s">
        <v>164</v>
      </c>
      <c r="C41" s="425"/>
      <c r="D41" s="424" t="s">
        <v>264</v>
      </c>
      <c r="E41" s="425"/>
      <c r="F41" s="2"/>
    </row>
    <row r="42" spans="1:6" ht="21">
      <c r="A42" s="2"/>
      <c r="B42" s="2"/>
      <c r="C42" s="2"/>
      <c r="D42" s="168"/>
      <c r="E42" s="2"/>
      <c r="F42" s="2"/>
    </row>
    <row r="43" spans="1:6" ht="21">
      <c r="A43" s="2"/>
      <c r="B43" s="2"/>
      <c r="C43" s="2"/>
      <c r="D43" s="168"/>
      <c r="E43" s="2"/>
      <c r="F43" s="2"/>
    </row>
    <row r="51" ht="36.75" customHeight="1"/>
    <row r="53" ht="41.25" customHeight="1"/>
  </sheetData>
  <sheetProtection/>
  <mergeCells count="7">
    <mergeCell ref="B41:C41"/>
    <mergeCell ref="D41:E41"/>
    <mergeCell ref="A3:E3"/>
    <mergeCell ref="B37:C37"/>
    <mergeCell ref="D37:E37"/>
    <mergeCell ref="B40:C40"/>
    <mergeCell ref="D40:E40"/>
  </mergeCells>
  <printOptions/>
  <pageMargins left="0.3" right="0.17" top="0.17" bottom="0.16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3">
      <selection activeCell="D2" sqref="D2"/>
    </sheetView>
  </sheetViews>
  <sheetFormatPr defaultColWidth="9.140625" defaultRowHeight="21.75"/>
  <cols>
    <col min="1" max="1" width="46.421875" style="1" customWidth="1"/>
    <col min="2" max="2" width="15.00390625" style="1" customWidth="1"/>
    <col min="3" max="3" width="13.421875" style="1" customWidth="1"/>
    <col min="4" max="4" width="15.7109375" style="76" customWidth="1"/>
    <col min="5" max="5" width="15.57421875" style="1" customWidth="1"/>
    <col min="6" max="16384" width="9.140625" style="1" customWidth="1"/>
  </cols>
  <sheetData>
    <row r="1" spans="1:4" s="3" customFormat="1" ht="23.25">
      <c r="A1" s="6" t="s">
        <v>222</v>
      </c>
      <c r="D1" s="3" t="s">
        <v>301</v>
      </c>
    </row>
    <row r="2" s="3" customFormat="1" ht="23.25">
      <c r="D2" s="3" t="s">
        <v>300</v>
      </c>
    </row>
    <row r="3" spans="1:5" s="3" customFormat="1" ht="23.25">
      <c r="A3" s="404" t="s">
        <v>150</v>
      </c>
      <c r="B3" s="404"/>
      <c r="C3" s="404"/>
      <c r="D3" s="404"/>
      <c r="E3" s="404"/>
    </row>
    <row r="4" spans="1:7" s="3" customFormat="1" ht="24.75" customHeight="1">
      <c r="A4" s="3" t="s">
        <v>172</v>
      </c>
      <c r="D4" s="66"/>
      <c r="G4" s="89"/>
    </row>
    <row r="5" spans="1:5" s="3" customFormat="1" ht="30" customHeight="1">
      <c r="A5" s="32" t="s">
        <v>5</v>
      </c>
      <c r="B5" s="32" t="s">
        <v>54</v>
      </c>
      <c r="C5" s="32" t="s">
        <v>152</v>
      </c>
      <c r="D5" s="32" t="s">
        <v>55</v>
      </c>
      <c r="E5" s="32" t="s">
        <v>56</v>
      </c>
    </row>
    <row r="6" spans="1:5" s="3" customFormat="1" ht="23.25">
      <c r="A6" s="121" t="s">
        <v>173</v>
      </c>
      <c r="B6" s="101">
        <v>821</v>
      </c>
      <c r="C6" s="101"/>
      <c r="D6" s="100">
        <f>SUM(E7:E26)</f>
        <v>1029669.9599999998</v>
      </c>
      <c r="E6" s="121"/>
    </row>
    <row r="7" spans="1:5" s="3" customFormat="1" ht="23.25">
      <c r="A7" s="102" t="s">
        <v>174</v>
      </c>
      <c r="B7" s="103" t="s">
        <v>71</v>
      </c>
      <c r="C7" s="105"/>
      <c r="D7" s="104"/>
      <c r="E7" s="122">
        <v>0</v>
      </c>
    </row>
    <row r="8" spans="1:5" s="3" customFormat="1" ht="23.25">
      <c r="A8" s="102" t="s">
        <v>175</v>
      </c>
      <c r="B8" s="103" t="s">
        <v>72</v>
      </c>
      <c r="C8" s="103"/>
      <c r="D8" s="104"/>
      <c r="E8" s="106">
        <v>0</v>
      </c>
    </row>
    <row r="9" spans="1:5" s="3" customFormat="1" ht="23.25">
      <c r="A9" s="102" t="s">
        <v>176</v>
      </c>
      <c r="B9" s="103" t="s">
        <v>73</v>
      </c>
      <c r="C9" s="103"/>
      <c r="D9" s="104"/>
      <c r="E9" s="106">
        <v>0</v>
      </c>
    </row>
    <row r="10" spans="1:5" s="3" customFormat="1" ht="23.25">
      <c r="A10" s="102" t="s">
        <v>177</v>
      </c>
      <c r="B10" s="103" t="s">
        <v>74</v>
      </c>
      <c r="C10" s="103"/>
      <c r="D10" s="104"/>
      <c r="E10" s="106">
        <v>0</v>
      </c>
    </row>
    <row r="11" spans="1:5" s="3" customFormat="1" ht="23.25">
      <c r="A11" s="102" t="s">
        <v>178</v>
      </c>
      <c r="B11" s="103" t="s">
        <v>179</v>
      </c>
      <c r="C11" s="103"/>
      <c r="D11" s="104"/>
      <c r="E11" s="106">
        <v>75079.06</v>
      </c>
    </row>
    <row r="12" spans="1:5" s="3" customFormat="1" ht="23.25">
      <c r="A12" s="102" t="s">
        <v>180</v>
      </c>
      <c r="B12" s="103" t="s">
        <v>181</v>
      </c>
      <c r="C12" s="103"/>
      <c r="D12" s="104"/>
      <c r="E12" s="106">
        <v>161038.15</v>
      </c>
    </row>
    <row r="13" spans="1:5" s="3" customFormat="1" ht="23.25">
      <c r="A13" s="102" t="s">
        <v>182</v>
      </c>
      <c r="B13" s="103" t="s">
        <v>183</v>
      </c>
      <c r="C13" s="103"/>
      <c r="D13" s="104"/>
      <c r="E13" s="106">
        <v>221541.46</v>
      </c>
    </row>
    <row r="14" spans="1:5" s="3" customFormat="1" ht="23.25">
      <c r="A14" s="102" t="s">
        <v>184</v>
      </c>
      <c r="B14" s="103" t="s">
        <v>185</v>
      </c>
      <c r="C14" s="103"/>
      <c r="D14" s="104"/>
      <c r="E14" s="106">
        <v>443943.27</v>
      </c>
    </row>
    <row r="15" spans="1:5" s="3" customFormat="1" ht="23.25">
      <c r="A15" s="102" t="s">
        <v>186</v>
      </c>
      <c r="B15" s="103" t="s">
        <v>187</v>
      </c>
      <c r="C15" s="103"/>
      <c r="D15" s="104"/>
      <c r="E15" s="106">
        <v>7993.75</v>
      </c>
    </row>
    <row r="16" spans="1:5" s="3" customFormat="1" ht="23.25">
      <c r="A16" s="102" t="s">
        <v>188</v>
      </c>
      <c r="B16" s="103" t="s">
        <v>189</v>
      </c>
      <c r="C16" s="103"/>
      <c r="D16" s="104"/>
      <c r="E16" s="106">
        <v>6029.94</v>
      </c>
    </row>
    <row r="17" spans="1:5" s="3" customFormat="1" ht="23.25">
      <c r="A17" s="102" t="s">
        <v>190</v>
      </c>
      <c r="B17" s="103" t="s">
        <v>191</v>
      </c>
      <c r="C17" s="103"/>
      <c r="D17" s="104"/>
      <c r="E17" s="106">
        <v>0</v>
      </c>
    </row>
    <row r="18" spans="1:5" s="3" customFormat="1" ht="23.25">
      <c r="A18" s="102" t="s">
        <v>273</v>
      </c>
      <c r="B18" s="103" t="s">
        <v>192</v>
      </c>
      <c r="C18" s="103"/>
      <c r="D18" s="104"/>
      <c r="E18" s="106">
        <v>32646</v>
      </c>
    </row>
    <row r="19" spans="1:5" s="3" customFormat="1" ht="23.25">
      <c r="A19" s="102" t="s">
        <v>193</v>
      </c>
      <c r="B19" s="103" t="s">
        <v>75</v>
      </c>
      <c r="C19" s="103"/>
      <c r="D19" s="104"/>
      <c r="E19" s="106">
        <v>0</v>
      </c>
    </row>
    <row r="20" spans="1:5" s="3" customFormat="1" ht="23.25">
      <c r="A20" s="102" t="s">
        <v>194</v>
      </c>
      <c r="B20" s="103" t="s">
        <v>76</v>
      </c>
      <c r="C20" s="103"/>
      <c r="D20" s="104"/>
      <c r="E20" s="106">
        <v>168</v>
      </c>
    </row>
    <row r="21" spans="1:5" s="3" customFormat="1" ht="23.25">
      <c r="A21" s="102" t="s">
        <v>195</v>
      </c>
      <c r="B21" s="103" t="s">
        <v>196</v>
      </c>
      <c r="C21" s="103"/>
      <c r="D21" s="104"/>
      <c r="E21" s="106">
        <v>100</v>
      </c>
    </row>
    <row r="22" spans="1:5" s="3" customFormat="1" ht="23.25">
      <c r="A22" s="102" t="s">
        <v>197</v>
      </c>
      <c r="B22" s="103" t="s">
        <v>198</v>
      </c>
      <c r="C22" s="105"/>
      <c r="D22" s="104"/>
      <c r="E22" s="106">
        <v>12000</v>
      </c>
    </row>
    <row r="23" spans="1:5" s="3" customFormat="1" ht="23.25">
      <c r="A23" s="102" t="s">
        <v>199</v>
      </c>
      <c r="B23" s="103" t="s">
        <v>77</v>
      </c>
      <c r="C23" s="105"/>
      <c r="D23" s="104"/>
      <c r="E23" s="106">
        <v>36940.33</v>
      </c>
    </row>
    <row r="24" spans="1:5" s="3" customFormat="1" ht="23.25">
      <c r="A24" s="102" t="s">
        <v>319</v>
      </c>
      <c r="B24" s="103"/>
      <c r="C24" s="105"/>
      <c r="D24" s="104"/>
      <c r="E24" s="106">
        <v>360</v>
      </c>
    </row>
    <row r="25" spans="1:5" s="3" customFormat="1" ht="23.25">
      <c r="A25" s="10" t="s">
        <v>261</v>
      </c>
      <c r="B25" s="289"/>
      <c r="C25" s="288"/>
      <c r="D25" s="251"/>
      <c r="E25" s="290">
        <v>25830</v>
      </c>
    </row>
    <row r="26" spans="1:5" s="3" customFormat="1" ht="23.25">
      <c r="A26" s="102" t="s">
        <v>285</v>
      </c>
      <c r="B26" s="105"/>
      <c r="C26" s="105"/>
      <c r="D26" s="104"/>
      <c r="E26" s="291">
        <v>6000</v>
      </c>
    </row>
    <row r="27" spans="1:5" s="3" customFormat="1" ht="23.25">
      <c r="A27" s="292"/>
      <c r="B27" s="123"/>
      <c r="C27" s="123"/>
      <c r="D27" s="124"/>
      <c r="E27" s="258"/>
    </row>
    <row r="28" spans="1:5" s="3" customFormat="1" ht="24" thickBot="1">
      <c r="A28" s="110"/>
      <c r="B28" s="110"/>
      <c r="C28" s="110"/>
      <c r="D28" s="111">
        <f>SUM(D6:D25)</f>
        <v>1029669.9599999998</v>
      </c>
      <c r="E28" s="112">
        <f>SUM(E7:E27)</f>
        <v>1029669.9599999998</v>
      </c>
    </row>
    <row r="29" spans="1:5" s="3" customFormat="1" ht="24.75" customHeight="1" thickTop="1">
      <c r="A29" s="5"/>
      <c r="B29" s="5"/>
      <c r="C29" s="5"/>
      <c r="D29" s="67"/>
      <c r="E29" s="5"/>
    </row>
    <row r="30" spans="1:5" s="3" customFormat="1" ht="24.75" customHeight="1">
      <c r="A30" s="113" t="s">
        <v>161</v>
      </c>
      <c r="D30" s="66"/>
      <c r="E30" s="114"/>
    </row>
    <row r="31" spans="1:6" s="3" customFormat="1" ht="23.25">
      <c r="A31" s="3" t="s">
        <v>299</v>
      </c>
      <c r="D31" s="66"/>
      <c r="F31" s="5"/>
    </row>
    <row r="32" spans="1:6" s="3" customFormat="1" ht="24.75" customHeight="1">
      <c r="A32" s="165" t="s">
        <v>78</v>
      </c>
      <c r="B32" s="426" t="s">
        <v>162</v>
      </c>
      <c r="C32" s="427"/>
      <c r="D32" s="426" t="s">
        <v>265</v>
      </c>
      <c r="E32" s="427"/>
      <c r="F32" s="16"/>
    </row>
    <row r="33" spans="1:6" s="3" customFormat="1" ht="24.75" customHeight="1">
      <c r="A33" s="16"/>
      <c r="B33" s="96"/>
      <c r="C33" s="94"/>
      <c r="D33" s="96"/>
      <c r="E33" s="94"/>
      <c r="F33" s="16"/>
    </row>
    <row r="34" spans="1:6" s="3" customFormat="1" ht="24.75" customHeight="1">
      <c r="A34" s="16"/>
      <c r="B34" s="96"/>
      <c r="C34" s="94"/>
      <c r="D34" s="96"/>
      <c r="E34" s="94"/>
      <c r="F34" s="16"/>
    </row>
    <row r="35" spans="1:6" ht="24.75" customHeight="1">
      <c r="A35" s="94" t="s">
        <v>266</v>
      </c>
      <c r="B35" s="428" t="s">
        <v>253</v>
      </c>
      <c r="C35" s="429"/>
      <c r="D35" s="428" t="s">
        <v>263</v>
      </c>
      <c r="E35" s="429"/>
      <c r="F35" s="166"/>
    </row>
    <row r="36" spans="1:6" ht="24.75" customHeight="1">
      <c r="A36" s="115" t="s">
        <v>264</v>
      </c>
      <c r="B36" s="424" t="s">
        <v>164</v>
      </c>
      <c r="C36" s="425"/>
      <c r="D36" s="424" t="s">
        <v>264</v>
      </c>
      <c r="E36" s="425"/>
      <c r="F36" s="2"/>
    </row>
    <row r="37" spans="1:6" s="3" customFormat="1" ht="23.25">
      <c r="A37" s="5"/>
      <c r="B37" s="5"/>
      <c r="C37" s="5"/>
      <c r="D37" s="67"/>
      <c r="E37" s="5"/>
      <c r="F37" s="5"/>
    </row>
    <row r="38" spans="1:6" s="3" customFormat="1" ht="23.25">
      <c r="A38" s="14"/>
      <c r="B38" s="5"/>
      <c r="C38" s="5"/>
      <c r="D38" s="67"/>
      <c r="E38" s="5"/>
      <c r="F38" s="5"/>
    </row>
    <row r="39" spans="1:6" s="3" customFormat="1" ht="23.25">
      <c r="A39" s="5"/>
      <c r="B39" s="5"/>
      <c r="C39" s="5"/>
      <c r="D39" s="67"/>
      <c r="E39" s="5"/>
      <c r="F39" s="5"/>
    </row>
    <row r="40" spans="1:6" s="3" customFormat="1" ht="23.25">
      <c r="A40" s="11"/>
      <c r="B40" s="11"/>
      <c r="C40" s="11"/>
      <c r="D40" s="11"/>
      <c r="E40" s="11"/>
      <c r="F40" s="5"/>
    </row>
    <row r="41" spans="1:7" s="3" customFormat="1" ht="28.5" customHeight="1">
      <c r="A41" s="5"/>
      <c r="B41" s="5"/>
      <c r="C41" s="5"/>
      <c r="D41" s="67"/>
      <c r="E41" s="5"/>
      <c r="F41" s="5"/>
      <c r="G41" s="89"/>
    </row>
    <row r="42" spans="1:6" s="3" customFormat="1" ht="23.25">
      <c r="A42" s="16"/>
      <c r="B42" s="16"/>
      <c r="C42" s="16"/>
      <c r="D42" s="16"/>
      <c r="E42" s="16"/>
      <c r="F42" s="5"/>
    </row>
    <row r="43" spans="1:6" s="3" customFormat="1" ht="23.25">
      <c r="A43" s="5"/>
      <c r="B43" s="16"/>
      <c r="C43" s="16"/>
      <c r="D43" s="125"/>
      <c r="E43" s="5"/>
      <c r="F43" s="5"/>
    </row>
    <row r="44" spans="1:6" s="3" customFormat="1" ht="23.25">
      <c r="A44" s="5"/>
      <c r="B44" s="65"/>
      <c r="C44" s="65"/>
      <c r="D44" s="125"/>
      <c r="E44" s="126"/>
      <c r="F44" s="5"/>
    </row>
    <row r="45" spans="1:6" s="3" customFormat="1" ht="23.25">
      <c r="A45" s="5"/>
      <c r="B45" s="65"/>
      <c r="C45" s="65"/>
      <c r="D45" s="125"/>
      <c r="E45" s="126"/>
      <c r="F45" s="5"/>
    </row>
    <row r="46" spans="1:6" s="3" customFormat="1" ht="23.25">
      <c r="A46" s="127"/>
      <c r="B46" s="65"/>
      <c r="C46" s="65"/>
      <c r="D46" s="125"/>
      <c r="E46" s="126"/>
      <c r="F46" s="5"/>
    </row>
    <row r="47" spans="1:6" s="3" customFormat="1" ht="23.25">
      <c r="A47" s="5"/>
      <c r="B47" s="65"/>
      <c r="C47" s="65"/>
      <c r="D47" s="125"/>
      <c r="E47" s="126"/>
      <c r="F47" s="5"/>
    </row>
    <row r="48" spans="1:6" s="3" customFormat="1" ht="23.25">
      <c r="A48" s="5"/>
      <c r="B48" s="65"/>
      <c r="C48" s="65"/>
      <c r="D48" s="125"/>
      <c r="E48" s="126"/>
      <c r="F48" s="5"/>
    </row>
    <row r="49" spans="1:6" s="3" customFormat="1" ht="23.25">
      <c r="A49" s="5"/>
      <c r="B49" s="65"/>
      <c r="C49" s="65"/>
      <c r="D49" s="125"/>
      <c r="E49" s="126"/>
      <c r="F49" s="5"/>
    </row>
    <row r="50" spans="1:6" s="3" customFormat="1" ht="23.25">
      <c r="A50" s="5"/>
      <c r="B50" s="65"/>
      <c r="C50" s="65"/>
      <c r="D50" s="125"/>
      <c r="E50" s="126"/>
      <c r="F50" s="5"/>
    </row>
    <row r="51" spans="1:6" s="3" customFormat="1" ht="23.25">
      <c r="A51" s="5"/>
      <c r="B51" s="65"/>
      <c r="C51" s="65"/>
      <c r="D51" s="125"/>
      <c r="E51" s="126"/>
      <c r="F51" s="5"/>
    </row>
    <row r="52" spans="1:6" s="3" customFormat="1" ht="23.25">
      <c r="A52" s="5"/>
      <c r="B52" s="65"/>
      <c r="C52" s="65"/>
      <c r="D52" s="125"/>
      <c r="E52" s="126"/>
      <c r="F52" s="5"/>
    </row>
    <row r="53" spans="1:6" s="3" customFormat="1" ht="23.25">
      <c r="A53" s="5"/>
      <c r="B53" s="65"/>
      <c r="C53" s="65"/>
      <c r="D53" s="125"/>
      <c r="E53" s="126"/>
      <c r="F53" s="5"/>
    </row>
    <row r="54" spans="1:6" s="3" customFormat="1" ht="23.25">
      <c r="A54" s="5"/>
      <c r="B54" s="16"/>
      <c r="C54" s="16"/>
      <c r="D54" s="125"/>
      <c r="E54" s="126"/>
      <c r="F54" s="5"/>
    </row>
    <row r="55" spans="1:6" s="3" customFormat="1" ht="23.25">
      <c r="A55" s="5"/>
      <c r="B55" s="16"/>
      <c r="C55" s="16"/>
      <c r="D55" s="125"/>
      <c r="E55" s="126"/>
      <c r="F55" s="5"/>
    </row>
    <row r="56" spans="1:6" s="3" customFormat="1" ht="23.25">
      <c r="A56" s="5"/>
      <c r="B56" s="16"/>
      <c r="C56" s="16"/>
      <c r="D56" s="125"/>
      <c r="E56" s="126"/>
      <c r="F56" s="5"/>
    </row>
    <row r="57" spans="1:6" s="3" customFormat="1" ht="23.25">
      <c r="A57" s="5"/>
      <c r="B57" s="16"/>
      <c r="C57" s="16"/>
      <c r="D57" s="125"/>
      <c r="E57" s="126"/>
      <c r="F57" s="5"/>
    </row>
    <row r="58" spans="1:6" s="3" customFormat="1" ht="23.25">
      <c r="A58" s="5"/>
      <c r="B58" s="16"/>
      <c r="C58" s="16"/>
      <c r="D58" s="125"/>
      <c r="E58" s="126"/>
      <c r="F58" s="5"/>
    </row>
    <row r="59" spans="1:6" s="3" customFormat="1" ht="23.25">
      <c r="A59" s="5"/>
      <c r="B59" s="16"/>
      <c r="C59" s="16"/>
      <c r="D59" s="67"/>
      <c r="E59" s="126"/>
      <c r="F59" s="5"/>
    </row>
    <row r="60" spans="1:6" s="3" customFormat="1" ht="23.25">
      <c r="A60" s="5"/>
      <c r="B60" s="16"/>
      <c r="C60" s="16"/>
      <c r="D60" s="67"/>
      <c r="E60" s="126"/>
      <c r="F60" s="5"/>
    </row>
    <row r="61" spans="1:6" s="3" customFormat="1" ht="23.25">
      <c r="A61" s="5"/>
      <c r="B61" s="5"/>
      <c r="C61" s="5"/>
      <c r="D61" s="67"/>
      <c r="E61" s="5"/>
      <c r="F61" s="5"/>
    </row>
    <row r="62" spans="1:6" s="3" customFormat="1" ht="23.25">
      <c r="A62" s="5"/>
      <c r="B62" s="5"/>
      <c r="C62" s="5"/>
      <c r="D62" s="125"/>
      <c r="E62" s="126"/>
      <c r="F62" s="5"/>
    </row>
    <row r="63" spans="1:6" s="3" customFormat="1" ht="31.5" customHeight="1">
      <c r="A63" s="5"/>
      <c r="B63" s="5"/>
      <c r="C63" s="5"/>
      <c r="D63" s="67"/>
      <c r="E63" s="5"/>
      <c r="F63" s="5"/>
    </row>
    <row r="64" spans="1:6" s="3" customFormat="1" ht="36.75" customHeight="1">
      <c r="A64" s="128"/>
      <c r="B64" s="5"/>
      <c r="C64" s="5"/>
      <c r="D64" s="67"/>
      <c r="E64" s="5"/>
      <c r="F64" s="5"/>
    </row>
    <row r="65" spans="1:6" s="3" customFormat="1" ht="23.25">
      <c r="A65" s="5"/>
      <c r="B65" s="5"/>
      <c r="C65" s="5"/>
      <c r="D65" s="67"/>
      <c r="E65" s="5"/>
      <c r="F65" s="5"/>
    </row>
    <row r="66" spans="1:6" s="3" customFormat="1" ht="41.25" customHeight="1">
      <c r="A66" s="16"/>
      <c r="B66" s="16"/>
      <c r="C66" s="16"/>
      <c r="D66" s="16"/>
      <c r="E66" s="428"/>
      <c r="F66" s="428"/>
    </row>
    <row r="67" spans="1:6" s="3" customFormat="1" ht="23.25">
      <c r="A67" s="5"/>
      <c r="B67" s="5"/>
      <c r="C67" s="5"/>
      <c r="D67" s="67"/>
      <c r="E67" s="5"/>
      <c r="F67" s="5"/>
    </row>
    <row r="247" ht="18" customHeight="1"/>
  </sheetData>
  <sheetProtection/>
  <mergeCells count="8">
    <mergeCell ref="E66:F66"/>
    <mergeCell ref="A3:E3"/>
    <mergeCell ref="B32:C32"/>
    <mergeCell ref="D32:E32"/>
    <mergeCell ref="B35:C35"/>
    <mergeCell ref="D35:E35"/>
    <mergeCell ref="B36:C36"/>
    <mergeCell ref="D36:E36"/>
  </mergeCells>
  <printOptions/>
  <pageMargins left="0.44" right="0.16" top="0.34" bottom="0.2" header="0.38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</dc:creator>
  <cp:keywords/>
  <dc:description/>
  <cp:lastModifiedBy>KKD 2011 V.2</cp:lastModifiedBy>
  <cp:lastPrinted>2016-02-06T09:55:56Z</cp:lastPrinted>
  <dcterms:created xsi:type="dcterms:W3CDTF">2004-03-25T05:02:00Z</dcterms:created>
  <dcterms:modified xsi:type="dcterms:W3CDTF">2016-03-05T09:24:21Z</dcterms:modified>
  <cp:category/>
  <cp:version/>
  <cp:contentType/>
  <cp:contentStatus/>
</cp:coreProperties>
</file>